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ESTRIA EN INGENIERIA DE PROCESOS - UNI\MAESTRIA EN INGENIERIA DE PROCESOS UNI - 2020 - II\CALCULO DE PROCESOS II\1ERA TAREA\"/>
    </mc:Choice>
  </mc:AlternateContent>
  <xr:revisionPtr revIDLastSave="0" documentId="13_ncr:1_{3DE4FC68-FBFC-4F18-8EE7-F353CC8C42DD}" xr6:coauthVersionLast="45" xr6:coauthVersionMax="45" xr10:uidLastSave="{00000000-0000-0000-0000-000000000000}"/>
  <bookViews>
    <workbookView xWindow="9504" yWindow="456" windowWidth="11184" windowHeight="10476" activeTab="3" xr2:uid="{00000000-000D-0000-FFFF-FFFF00000000}"/>
  </bookViews>
  <sheets>
    <sheet name="Tarea 2" sheetId="6" r:id="rId1"/>
    <sheet name="Margules" sheetId="1" r:id="rId2"/>
    <sheet name="Tarea 1 - Wilson" sheetId="4" r:id="rId3"/>
    <sheet name="Clase ELV" sheetId="7" r:id="rId4"/>
  </sheets>
  <definedNames>
    <definedName name="solver_cvg" localSheetId="1" hidden="1">0.0001</definedName>
    <definedName name="solver_cvg" localSheetId="0" hidden="1">0.0001</definedName>
    <definedName name="solver_drv" localSheetId="1" hidden="1">1</definedName>
    <definedName name="solver_drv" localSheetId="0" hidden="1">1</definedName>
    <definedName name="solver_eng" localSheetId="1" hidden="1">1</definedName>
    <definedName name="solver_eng" localSheetId="0" hidden="1">1</definedName>
    <definedName name="solver_est" localSheetId="1" hidden="1">1</definedName>
    <definedName name="solver_est" localSheetId="0" hidden="1">1</definedName>
    <definedName name="solver_itr" localSheetId="1" hidden="1">2147483647</definedName>
    <definedName name="solver_itr" localSheetId="0" hidden="1">2147483647</definedName>
    <definedName name="solver_lhs1" localSheetId="1" hidden="1">Margules!$H$18</definedName>
    <definedName name="solver_lhs1" localSheetId="0" hidden="1">'Tarea 2'!$H$32</definedName>
    <definedName name="solver_mip" localSheetId="1" hidden="1">2147483647</definedName>
    <definedName name="solver_mip" localSheetId="0" hidden="1">2147483647</definedName>
    <definedName name="solver_mni" localSheetId="1" hidden="1">30</definedName>
    <definedName name="solver_mni" localSheetId="0" hidden="1">30</definedName>
    <definedName name="solver_mrt" localSheetId="1" hidden="1">0.075</definedName>
    <definedName name="solver_mrt" localSheetId="0" hidden="1">0.075</definedName>
    <definedName name="solver_msl" localSheetId="1" hidden="1">2</definedName>
    <definedName name="solver_msl" localSheetId="0" hidden="1">2</definedName>
    <definedName name="solver_neg" localSheetId="1" hidden="1">1</definedName>
    <definedName name="solver_neg" localSheetId="0" hidden="1">1</definedName>
    <definedName name="solver_nod" localSheetId="1" hidden="1">2147483647</definedName>
    <definedName name="solver_nod" localSheetId="0" hidden="1">2147483647</definedName>
    <definedName name="solver_num" localSheetId="1" hidden="1">0</definedName>
    <definedName name="solver_num" localSheetId="0" hidden="1">0</definedName>
    <definedName name="solver_nwt" localSheetId="1" hidden="1">1</definedName>
    <definedName name="solver_nwt" localSheetId="0" hidden="1">1</definedName>
    <definedName name="solver_pre" localSheetId="1" hidden="1">0.000001</definedName>
    <definedName name="solver_pre" localSheetId="0" hidden="1">0.000001</definedName>
    <definedName name="solver_rbv" localSheetId="1" hidden="1">1</definedName>
    <definedName name="solver_rbv" localSheetId="0" hidden="1">1</definedName>
    <definedName name="solver_rel1" localSheetId="1" hidden="1">2</definedName>
    <definedName name="solver_rel1" localSheetId="0" hidden="1">2</definedName>
    <definedName name="solver_rhs1" localSheetId="1" hidden="1">0</definedName>
    <definedName name="solver_rhs1" localSheetId="0" hidden="1">0</definedName>
    <definedName name="solver_rlx" localSheetId="1" hidden="1">2</definedName>
    <definedName name="solver_rlx" localSheetId="0" hidden="1">2</definedName>
    <definedName name="solver_rsd" localSheetId="1" hidden="1">0</definedName>
    <definedName name="solver_rsd" localSheetId="0" hidden="1">0</definedName>
    <definedName name="solver_scl" localSheetId="1" hidden="1">1</definedName>
    <definedName name="solver_scl" localSheetId="0" hidden="1">1</definedName>
    <definedName name="solver_sho" localSheetId="1" hidden="1">2</definedName>
    <definedName name="solver_sho" localSheetId="0" hidden="1">2</definedName>
    <definedName name="solver_ssz" localSheetId="1" hidden="1">100</definedName>
    <definedName name="solver_ssz" localSheetId="0" hidden="1">100</definedName>
    <definedName name="solver_tim" localSheetId="1" hidden="1">2147483647</definedName>
    <definedName name="solver_tim" localSheetId="0" hidden="1">2147483647</definedName>
    <definedName name="solver_tol" localSheetId="1" hidden="1">0.01</definedName>
    <definedName name="solver_tol" localSheetId="0" hidden="1">0.01</definedName>
    <definedName name="solver_typ" localSheetId="1" hidden="1">1</definedName>
    <definedName name="solver_typ" localSheetId="0" hidden="1">1</definedName>
    <definedName name="solver_val" localSheetId="1" hidden="1">0</definedName>
    <definedName name="solver_val" localSheetId="0" hidden="1">0</definedName>
    <definedName name="solver_ver" localSheetId="1" hidden="1">3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1" i="7" l="1"/>
  <c r="G52" i="7"/>
  <c r="G53" i="7"/>
  <c r="G54" i="7"/>
  <c r="G55" i="7"/>
  <c r="G56" i="7"/>
  <c r="G57" i="7"/>
  <c r="G58" i="7"/>
  <c r="G59" i="7"/>
  <c r="G60" i="7"/>
  <c r="G50" i="7"/>
  <c r="O51" i="7"/>
  <c r="O52" i="7"/>
  <c r="O53" i="7"/>
  <c r="O54" i="7"/>
  <c r="O55" i="7"/>
  <c r="O56" i="7"/>
  <c r="O57" i="7"/>
  <c r="O58" i="7"/>
  <c r="O59" i="7"/>
  <c r="O60" i="7"/>
  <c r="O50" i="7"/>
  <c r="N51" i="7"/>
  <c r="N52" i="7"/>
  <c r="N53" i="7"/>
  <c r="N54" i="7"/>
  <c r="N55" i="7"/>
  <c r="N56" i="7"/>
  <c r="N57" i="7"/>
  <c r="N58" i="7"/>
  <c r="N59" i="7"/>
  <c r="N60" i="7"/>
  <c r="N50" i="7"/>
  <c r="M51" i="7"/>
  <c r="M52" i="7"/>
  <c r="M53" i="7"/>
  <c r="M54" i="7"/>
  <c r="M55" i="7"/>
  <c r="M56" i="7"/>
  <c r="M57" i="7"/>
  <c r="M58" i="7"/>
  <c r="M59" i="7"/>
  <c r="M60" i="7"/>
  <c r="M50" i="7"/>
  <c r="L51" i="7"/>
  <c r="L52" i="7"/>
  <c r="L53" i="7"/>
  <c r="L54" i="7"/>
  <c r="L55" i="7"/>
  <c r="L56" i="7"/>
  <c r="L57" i="7"/>
  <c r="L58" i="7"/>
  <c r="L59" i="7"/>
  <c r="L60" i="7"/>
  <c r="L50" i="7"/>
  <c r="H44" i="7"/>
  <c r="G44" i="7"/>
  <c r="H60" i="7"/>
  <c r="H59" i="7"/>
  <c r="H58" i="7"/>
  <c r="H57" i="7"/>
  <c r="H56" i="7"/>
  <c r="H55" i="7"/>
  <c r="H54" i="7"/>
  <c r="H53" i="7"/>
  <c r="H52" i="7"/>
  <c r="H51" i="7"/>
  <c r="H50" i="7"/>
  <c r="I19" i="7"/>
  <c r="I20" i="7"/>
  <c r="I21" i="7"/>
  <c r="I22" i="7"/>
  <c r="I23" i="7"/>
  <c r="I24" i="7"/>
  <c r="I25" i="7"/>
  <c r="I26" i="7"/>
  <c r="I27" i="7"/>
  <c r="I28" i="7"/>
  <c r="I18" i="7"/>
  <c r="H19" i="7"/>
  <c r="H20" i="7"/>
  <c r="H21" i="7"/>
  <c r="H22" i="7"/>
  <c r="H23" i="7"/>
  <c r="H24" i="7"/>
  <c r="H25" i="7"/>
  <c r="H26" i="7"/>
  <c r="H27" i="7"/>
  <c r="H28" i="7"/>
  <c r="H18" i="7"/>
  <c r="G19" i="7"/>
  <c r="G20" i="7"/>
  <c r="G21" i="7"/>
  <c r="G22" i="7"/>
  <c r="G23" i="7"/>
  <c r="G24" i="7"/>
  <c r="G25" i="7"/>
  <c r="G26" i="7"/>
  <c r="G27" i="7"/>
  <c r="G28" i="7"/>
  <c r="G18" i="7"/>
  <c r="F19" i="7"/>
  <c r="F20" i="7"/>
  <c r="F21" i="7"/>
  <c r="F22" i="7"/>
  <c r="F23" i="7"/>
  <c r="F24" i="7"/>
  <c r="F25" i="7"/>
  <c r="F26" i="7"/>
  <c r="F27" i="7"/>
  <c r="F28" i="7"/>
  <c r="F18" i="7"/>
  <c r="J19" i="7"/>
  <c r="J20" i="7"/>
  <c r="J21" i="7"/>
  <c r="J22" i="7"/>
  <c r="J23" i="7"/>
  <c r="J24" i="7"/>
  <c r="J25" i="7"/>
  <c r="J26" i="7"/>
  <c r="J27" i="7"/>
  <c r="J28" i="7"/>
  <c r="J18" i="7"/>
  <c r="H7" i="7"/>
  <c r="G12" i="7" s="1"/>
  <c r="F12" i="7" l="1"/>
  <c r="L23" i="7" l="1"/>
  <c r="K24" i="7"/>
  <c r="L24" i="7" s="1"/>
  <c r="L27" i="7"/>
  <c r="K18" i="7"/>
  <c r="L18" i="7"/>
  <c r="K19" i="7"/>
  <c r="L19" i="7"/>
  <c r="K21" i="7"/>
  <c r="L21" i="7"/>
  <c r="L22" i="7"/>
  <c r="K25" i="7"/>
  <c r="L25" i="7" s="1"/>
  <c r="K26" i="7"/>
  <c r="L26" i="7" s="1"/>
  <c r="K27" i="7"/>
  <c r="K28" i="7"/>
  <c r="L28" i="7" s="1"/>
  <c r="K23" i="7"/>
  <c r="K20" i="7"/>
  <c r="L20" i="7" s="1"/>
  <c r="K22" i="7"/>
  <c r="F25" i="6" l="1"/>
  <c r="L25" i="6" s="1"/>
  <c r="M25" i="6"/>
  <c r="P25" i="6" s="1"/>
  <c r="N25" i="6"/>
  <c r="O25" i="6"/>
  <c r="F24" i="6"/>
  <c r="L24" i="6"/>
  <c r="M24" i="6"/>
  <c r="N24" i="6"/>
  <c r="F23" i="6"/>
  <c r="L23" i="6"/>
  <c r="M23" i="6"/>
  <c r="P23" i="6" s="1"/>
  <c r="N23" i="6"/>
  <c r="O23" i="6"/>
  <c r="F22" i="6"/>
  <c r="L22" i="6"/>
  <c r="M22" i="6"/>
  <c r="P22" i="6" s="1"/>
  <c r="N22" i="6"/>
  <c r="O22" i="6"/>
  <c r="F21" i="6"/>
  <c r="L21" i="6"/>
  <c r="M21" i="6"/>
  <c r="N21" i="6"/>
  <c r="F20" i="6"/>
  <c r="L20" i="6" s="1"/>
  <c r="N20" i="6"/>
  <c r="F19" i="6"/>
  <c r="L19" i="6" s="1"/>
  <c r="N19" i="6"/>
  <c r="F18" i="6"/>
  <c r="L18" i="6"/>
  <c r="M18" i="6"/>
  <c r="P18" i="6" s="1"/>
  <c r="N18" i="6"/>
  <c r="O18" i="6"/>
  <c r="F17" i="6"/>
  <c r="L17" i="6" s="1"/>
  <c r="N17" i="6"/>
  <c r="F16" i="6"/>
  <c r="L16" i="6" s="1"/>
  <c r="H15" i="6"/>
  <c r="F15" i="6"/>
  <c r="N15" i="6" s="1"/>
  <c r="H14" i="6"/>
  <c r="F14" i="6"/>
  <c r="N14" i="6" s="1"/>
  <c r="H13" i="6"/>
  <c r="F13" i="6"/>
  <c r="M13" i="6" s="1"/>
  <c r="H12" i="6"/>
  <c r="F12" i="6"/>
  <c r="L12" i="6" s="1"/>
  <c r="H11" i="6"/>
  <c r="F11" i="6"/>
  <c r="I11" i="6" s="1"/>
  <c r="H10" i="6"/>
  <c r="F10" i="6"/>
  <c r="I10" i="6" s="1"/>
  <c r="H9" i="6"/>
  <c r="F9" i="6"/>
  <c r="I9" i="6" s="1"/>
  <c r="J9" i="6" s="1"/>
  <c r="K9" i="6" s="1"/>
  <c r="H8" i="6"/>
  <c r="F8" i="6"/>
  <c r="L8" i="6" s="1"/>
  <c r="H7" i="6"/>
  <c r="F7" i="6"/>
  <c r="N7" i="6" s="1"/>
  <c r="H6" i="6"/>
  <c r="F6" i="6"/>
  <c r="N6" i="6" s="1"/>
  <c r="H5" i="6"/>
  <c r="F5" i="6"/>
  <c r="L5" i="6" s="1"/>
  <c r="O24" i="6" l="1"/>
  <c r="P24" i="6" s="1"/>
  <c r="O21" i="6"/>
  <c r="P21" i="6" s="1"/>
  <c r="M20" i="6"/>
  <c r="M19" i="6"/>
  <c r="M17" i="6"/>
  <c r="N16" i="6"/>
  <c r="M16" i="6"/>
  <c r="N8" i="6"/>
  <c r="L10" i="6"/>
  <c r="M10" i="6"/>
  <c r="M8" i="6"/>
  <c r="N12" i="6"/>
  <c r="I14" i="6"/>
  <c r="J14" i="6" s="1"/>
  <c r="K14" i="6" s="1"/>
  <c r="M11" i="6"/>
  <c r="L14" i="6"/>
  <c r="I7" i="6"/>
  <c r="J7" i="6" s="1"/>
  <c r="K7" i="6" s="1"/>
  <c r="L9" i="6"/>
  <c r="N11" i="6"/>
  <c r="L7" i="6"/>
  <c r="M9" i="6"/>
  <c r="M7" i="6"/>
  <c r="O7" i="6" s="1"/>
  <c r="Q7" i="6" s="1"/>
  <c r="N9" i="6"/>
  <c r="M12" i="6"/>
  <c r="L11" i="6"/>
  <c r="I8" i="6"/>
  <c r="J8" i="6" s="1"/>
  <c r="K8" i="6" s="1"/>
  <c r="N10" i="6"/>
  <c r="N13" i="6"/>
  <c r="O13" i="6" s="1"/>
  <c r="Q13" i="6" s="1"/>
  <c r="J10" i="6"/>
  <c r="K10" i="6" s="1"/>
  <c r="J11" i="6"/>
  <c r="K11" i="6" s="1"/>
  <c r="I5" i="6"/>
  <c r="J5" i="6" s="1"/>
  <c r="K5" i="6" s="1"/>
  <c r="I15" i="6"/>
  <c r="J15" i="6" s="1"/>
  <c r="K15" i="6" s="1"/>
  <c r="N5" i="6"/>
  <c r="L15" i="6"/>
  <c r="I6" i="6"/>
  <c r="J6" i="6" s="1"/>
  <c r="K6" i="6" s="1"/>
  <c r="M6" i="6"/>
  <c r="M5" i="6"/>
  <c r="M15" i="6"/>
  <c r="L6" i="6"/>
  <c r="L13" i="6"/>
  <c r="M14" i="6"/>
  <c r="I13" i="6"/>
  <c r="J13" i="6" s="1"/>
  <c r="K13" i="6" s="1"/>
  <c r="I12" i="6"/>
  <c r="J12" i="6" s="1"/>
  <c r="K12" i="6" s="1"/>
  <c r="O20" i="6" l="1"/>
  <c r="P20" i="6" s="1"/>
  <c r="O19" i="6"/>
  <c r="P19" i="6" s="1"/>
  <c r="O17" i="6"/>
  <c r="P17" i="6" s="1"/>
  <c r="O16" i="6"/>
  <c r="P16" i="6" s="1"/>
  <c r="O12" i="6"/>
  <c r="Q12" i="6" s="1"/>
  <c r="O8" i="6"/>
  <c r="Q8" i="6" s="1"/>
  <c r="O9" i="6"/>
  <c r="Q9" i="6" s="1"/>
  <c r="O11" i="6"/>
  <c r="Q11" i="6" s="1"/>
  <c r="O10" i="6"/>
  <c r="Q10" i="6" s="1"/>
  <c r="P7" i="6"/>
  <c r="O6" i="6"/>
  <c r="Q6" i="6" s="1"/>
  <c r="P13" i="6"/>
  <c r="O5" i="6"/>
  <c r="Q5" i="6" s="1"/>
  <c r="O15" i="6"/>
  <c r="Q15" i="6" s="1"/>
  <c r="O14" i="6"/>
  <c r="Q14" i="6" s="1"/>
  <c r="P15" i="6" l="1"/>
  <c r="P12" i="6"/>
  <c r="P8" i="6"/>
  <c r="P6" i="6"/>
  <c r="P11" i="6"/>
  <c r="P10" i="6"/>
  <c r="P9" i="6"/>
  <c r="P5" i="6"/>
  <c r="P14" i="6"/>
  <c r="C21" i="4" l="1"/>
  <c r="G19" i="4" s="1"/>
  <c r="K12" i="4" s="1"/>
  <c r="C18" i="4"/>
  <c r="G18" i="4" s="1"/>
  <c r="J6" i="4" s="1"/>
  <c r="F13" i="4"/>
  <c r="D13" i="4"/>
  <c r="G13" i="4" s="1"/>
  <c r="F12" i="4"/>
  <c r="D12" i="4"/>
  <c r="G12" i="4" s="1"/>
  <c r="F11" i="4"/>
  <c r="D11" i="4"/>
  <c r="G11" i="4" s="1"/>
  <c r="F10" i="4"/>
  <c r="D10" i="4"/>
  <c r="G10" i="4" s="1"/>
  <c r="F9" i="4"/>
  <c r="D9" i="4"/>
  <c r="G9" i="4" s="1"/>
  <c r="F8" i="4"/>
  <c r="D8" i="4"/>
  <c r="G8" i="4" s="1"/>
  <c r="F7" i="4"/>
  <c r="D7" i="4"/>
  <c r="G7" i="4" s="1"/>
  <c r="F6" i="4"/>
  <c r="D6" i="4"/>
  <c r="G6" i="4" s="1"/>
  <c r="F5" i="4"/>
  <c r="D5" i="4"/>
  <c r="G5" i="4" s="1"/>
  <c r="F4" i="4"/>
  <c r="D4" i="4"/>
  <c r="G4" i="4" s="1"/>
  <c r="F3" i="4"/>
  <c r="D3" i="4"/>
  <c r="G3" i="4" s="1"/>
  <c r="J11" i="4" l="1"/>
  <c r="J5" i="4"/>
  <c r="K9" i="4"/>
  <c r="K13" i="4"/>
  <c r="K8" i="4"/>
  <c r="J4" i="4"/>
  <c r="J9" i="4"/>
  <c r="K3" i="4"/>
  <c r="J8" i="4"/>
  <c r="K4" i="4"/>
  <c r="J10" i="4"/>
  <c r="K7" i="4"/>
  <c r="J13" i="4"/>
  <c r="J7" i="4"/>
  <c r="K10" i="4"/>
  <c r="J3" i="4"/>
  <c r="K6" i="4"/>
  <c r="I6" i="4" s="1"/>
  <c r="J12" i="4"/>
  <c r="K11" i="4"/>
  <c r="K5" i="4"/>
  <c r="H6" i="4"/>
  <c r="H7" i="4"/>
  <c r="H10" i="4"/>
  <c r="H11" i="4"/>
  <c r="H12" i="4"/>
  <c r="H3" i="4"/>
  <c r="H8" i="4"/>
  <c r="H4" i="4"/>
  <c r="H13" i="4"/>
  <c r="H5" i="4"/>
  <c r="H9" i="4"/>
  <c r="H10" i="1"/>
  <c r="H11" i="1"/>
  <c r="H12" i="1"/>
  <c r="H13" i="1"/>
  <c r="H14" i="1"/>
  <c r="H15" i="1"/>
  <c r="H5" i="1"/>
  <c r="F6" i="1"/>
  <c r="M6" i="1" s="1"/>
  <c r="F7" i="1"/>
  <c r="L7" i="1" s="1"/>
  <c r="F8" i="1"/>
  <c r="L8" i="1" s="1"/>
  <c r="F9" i="1"/>
  <c r="N9" i="1" s="1"/>
  <c r="F10" i="1"/>
  <c r="M10" i="1" s="1"/>
  <c r="F11" i="1"/>
  <c r="L11" i="1" s="1"/>
  <c r="F12" i="1"/>
  <c r="L12" i="1" s="1"/>
  <c r="F13" i="1"/>
  <c r="N13" i="1" s="1"/>
  <c r="F14" i="1"/>
  <c r="M14" i="1" s="1"/>
  <c r="F15" i="1"/>
  <c r="L15" i="1" s="1"/>
  <c r="F5" i="1"/>
  <c r="L5" i="1" s="1"/>
  <c r="H6" i="1"/>
  <c r="H7" i="1"/>
  <c r="H8" i="1"/>
  <c r="H9" i="1"/>
  <c r="M5" i="1" l="1"/>
  <c r="L8" i="4"/>
  <c r="N8" i="4" s="1"/>
  <c r="I8" i="4"/>
  <c r="M8" i="4"/>
  <c r="L12" i="4"/>
  <c r="N12" i="4" s="1"/>
  <c r="I12" i="4"/>
  <c r="M12" i="4"/>
  <c r="L4" i="4"/>
  <c r="N4" i="4" s="1"/>
  <c r="M4" i="4"/>
  <c r="I4" i="4"/>
  <c r="L3" i="4"/>
  <c r="N3" i="4" s="1"/>
  <c r="I3" i="4"/>
  <c r="L9" i="4"/>
  <c r="N9" i="4" s="1"/>
  <c r="I9" i="4"/>
  <c r="M9" i="4"/>
  <c r="L7" i="4"/>
  <c r="N7" i="4" s="1"/>
  <c r="I7" i="4"/>
  <c r="M7" i="4"/>
  <c r="L5" i="4"/>
  <c r="N5" i="4" s="1"/>
  <c r="I5" i="4"/>
  <c r="M5" i="4"/>
  <c r="I13" i="4"/>
  <c r="M13" i="4"/>
  <c r="L13" i="4"/>
  <c r="N13" i="4" s="1"/>
  <c r="L11" i="4"/>
  <c r="N11" i="4" s="1"/>
  <c r="I11" i="4"/>
  <c r="L10" i="4"/>
  <c r="N10" i="4" s="1"/>
  <c r="I10" i="4"/>
  <c r="L6" i="4"/>
  <c r="N15" i="1"/>
  <c r="L14" i="1"/>
  <c r="N10" i="1"/>
  <c r="O10" i="1" s="1"/>
  <c r="Q10" i="1" s="1"/>
  <c r="L10" i="1"/>
  <c r="N14" i="1"/>
  <c r="O14" i="1" s="1"/>
  <c r="Q14" i="1" s="1"/>
  <c r="N8" i="1"/>
  <c r="L6" i="1"/>
  <c r="N12" i="1"/>
  <c r="N7" i="1"/>
  <c r="I6" i="1"/>
  <c r="J6" i="1" s="1"/>
  <c r="K6" i="1" s="1"/>
  <c r="N5" i="1"/>
  <c r="N11" i="1"/>
  <c r="N6" i="1"/>
  <c r="O6" i="1" s="1"/>
  <c r="Q6" i="1" s="1"/>
  <c r="I13" i="1"/>
  <c r="J13" i="1" s="1"/>
  <c r="K13" i="1" s="1"/>
  <c r="M13" i="1"/>
  <c r="M9" i="1"/>
  <c r="I9" i="1"/>
  <c r="I5" i="1"/>
  <c r="I12" i="1"/>
  <c r="J12" i="1" s="1"/>
  <c r="K12" i="1" s="1"/>
  <c r="I8" i="1"/>
  <c r="J8" i="1" s="1"/>
  <c r="K8" i="1" s="1"/>
  <c r="L13" i="1"/>
  <c r="L9" i="1"/>
  <c r="M12" i="1"/>
  <c r="M8" i="1"/>
  <c r="I15" i="1"/>
  <c r="J15" i="1" s="1"/>
  <c r="K15" i="1" s="1"/>
  <c r="I11" i="1"/>
  <c r="J11" i="1" s="1"/>
  <c r="K11" i="1" s="1"/>
  <c r="I7" i="1"/>
  <c r="J7" i="1" s="1"/>
  <c r="K7" i="1" s="1"/>
  <c r="M15" i="1"/>
  <c r="M11" i="1"/>
  <c r="M7" i="1"/>
  <c r="I14" i="1"/>
  <c r="J14" i="1" s="1"/>
  <c r="K14" i="1" s="1"/>
  <c r="I10" i="1"/>
  <c r="J10" i="1" s="1"/>
  <c r="K10" i="1" s="1"/>
  <c r="O5" i="1" l="1"/>
  <c r="P5" i="1" s="1"/>
  <c r="M10" i="4"/>
  <c r="M11" i="4"/>
  <c r="N6" i="4"/>
  <c r="M6" i="4"/>
  <c r="M3" i="4"/>
  <c r="J5" i="1"/>
  <c r="K5" i="1" s="1"/>
  <c r="J9" i="1"/>
  <c r="K9" i="1" s="1"/>
  <c r="P10" i="1"/>
  <c r="P6" i="1"/>
  <c r="P14" i="1"/>
  <c r="O12" i="1"/>
  <c r="Q12" i="1" s="1"/>
  <c r="O13" i="1"/>
  <c r="Q13" i="1" s="1"/>
  <c r="O7" i="1"/>
  <c r="Q7" i="1" s="1"/>
  <c r="O11" i="1"/>
  <c r="Q11" i="1" s="1"/>
  <c r="O9" i="1"/>
  <c r="Q9" i="1" s="1"/>
  <c r="Q5" i="1"/>
  <c r="O15" i="1"/>
  <c r="Q15" i="1" s="1"/>
  <c r="O8" i="1"/>
  <c r="Q8" i="1" s="1"/>
  <c r="P8" i="1" l="1"/>
  <c r="P12" i="1"/>
  <c r="P9" i="1"/>
  <c r="P13" i="1"/>
  <c r="P11" i="1"/>
  <c r="P15" i="1"/>
  <c r="P7" i="1"/>
</calcChain>
</file>

<file path=xl/sharedStrings.xml><?xml version="1.0" encoding="utf-8"?>
<sst xmlns="http://schemas.openxmlformats.org/spreadsheetml/2006/main" count="112" uniqueCount="66">
  <si>
    <t>Psat1</t>
  </si>
  <si>
    <t>Psat2</t>
  </si>
  <si>
    <t>X1</t>
  </si>
  <si>
    <t>Y1</t>
  </si>
  <si>
    <t>X2</t>
  </si>
  <si>
    <t>Gex/(RT*X1*X2^2)</t>
  </si>
  <si>
    <t>Pcal</t>
  </si>
  <si>
    <t>A12</t>
  </si>
  <si>
    <t>A21</t>
  </si>
  <si>
    <t>X1/X2</t>
  </si>
  <si>
    <t>Y1cal</t>
  </si>
  <si>
    <r>
      <rPr>
        <sz val="9"/>
        <rFont val="Calibri"/>
        <family val="2"/>
      </rPr>
      <t>ƴ</t>
    </r>
    <r>
      <rPr>
        <sz val="9"/>
        <rFont val="Arial"/>
        <family val="2"/>
      </rPr>
      <t>1 cal</t>
    </r>
  </si>
  <si>
    <t>P mm Hg</t>
  </si>
  <si>
    <t>Psat1 mm Hg</t>
  </si>
  <si>
    <t>Psat2 mm Hg</t>
  </si>
  <si>
    <t>a12 (cal/mol)</t>
  </si>
  <si>
    <t>a21 (cal/mol)</t>
  </si>
  <si>
    <t>R (cal/molK)</t>
  </si>
  <si>
    <t>T (K)</t>
  </si>
  <si>
    <t>Vmolar1</t>
  </si>
  <si>
    <t>Vmolar2</t>
  </si>
  <si>
    <r>
      <rPr>
        <sz val="9"/>
        <rFont val="Calibri"/>
        <family val="2"/>
      </rPr>
      <t>ƴ2</t>
    </r>
    <r>
      <rPr>
        <sz val="9"/>
        <rFont val="Arial"/>
        <family val="2"/>
      </rPr>
      <t xml:space="preserve"> cal</t>
    </r>
  </si>
  <si>
    <r>
      <rPr>
        <sz val="9"/>
        <rFont val="Calibri"/>
        <family val="2"/>
      </rPr>
      <t>ƴ</t>
    </r>
    <r>
      <rPr>
        <sz val="9"/>
        <rFont val="Arial"/>
        <family val="2"/>
      </rPr>
      <t xml:space="preserve">1 </t>
    </r>
  </si>
  <si>
    <r>
      <rPr>
        <sz val="9"/>
        <rFont val="Calibri"/>
        <family val="2"/>
      </rPr>
      <t>ƴ2</t>
    </r>
    <r>
      <rPr>
        <sz val="9"/>
        <rFont val="Arial"/>
        <family val="2"/>
      </rPr>
      <t xml:space="preserve"> </t>
    </r>
  </si>
  <si>
    <t>X1cal</t>
  </si>
  <si>
    <t>GE/RT (Calculado)</t>
  </si>
  <si>
    <t>Gex/RT (experimental)</t>
  </si>
  <si>
    <t>N</t>
  </si>
  <si>
    <t>ƴ1</t>
  </si>
  <si>
    <t>Gex/RT experimental</t>
  </si>
  <si>
    <t>x1</t>
  </si>
  <si>
    <t>y1</t>
  </si>
  <si>
    <t>y2</t>
  </si>
  <si>
    <t>P(bar)</t>
  </si>
  <si>
    <r>
      <t>x</t>
    </r>
    <r>
      <rPr>
        <b/>
        <vertAlign val="subscript"/>
        <sz val="9"/>
        <color rgb="FFFF0000"/>
        <rFont val="Arial"/>
        <family val="2"/>
      </rPr>
      <t>1</t>
    </r>
  </si>
  <si>
    <r>
      <t>y</t>
    </r>
    <r>
      <rPr>
        <b/>
        <vertAlign val="subscript"/>
        <sz val="9"/>
        <color rgb="FFFF0000"/>
        <rFont val="Arial"/>
        <family val="2"/>
      </rPr>
      <t>1</t>
    </r>
  </si>
  <si>
    <r>
      <t>y</t>
    </r>
    <r>
      <rPr>
        <b/>
        <vertAlign val="subscript"/>
        <sz val="9"/>
        <color rgb="FFFF0000"/>
        <rFont val="Arial"/>
        <family val="2"/>
      </rPr>
      <t>2</t>
    </r>
  </si>
  <si>
    <t>A(1)</t>
  </si>
  <si>
    <t>B(2)</t>
  </si>
  <si>
    <t>T(°C)</t>
  </si>
  <si>
    <t>A</t>
  </si>
  <si>
    <t>T°K</t>
  </si>
  <si>
    <t>a</t>
  </si>
  <si>
    <t>b</t>
  </si>
  <si>
    <r>
      <t>P</t>
    </r>
    <r>
      <rPr>
        <vertAlign val="superscript"/>
        <sz val="9"/>
        <color rgb="FFFF0000"/>
        <rFont val="Arial"/>
        <family val="2"/>
      </rPr>
      <t>sat</t>
    </r>
    <r>
      <rPr>
        <sz val="9"/>
        <color rgb="FFFF0000"/>
        <rFont val="Arial"/>
        <family val="2"/>
      </rPr>
      <t>(bar)</t>
    </r>
  </si>
  <si>
    <t>Pid</t>
  </si>
  <si>
    <r>
      <t>Y</t>
    </r>
    <r>
      <rPr>
        <b/>
        <vertAlign val="subscript"/>
        <sz val="9"/>
        <color rgb="FFFF0000"/>
        <rFont val="Arial"/>
        <family val="2"/>
      </rPr>
      <t>1</t>
    </r>
  </si>
  <si>
    <r>
      <t>x</t>
    </r>
    <r>
      <rPr>
        <b/>
        <vertAlign val="subscript"/>
        <sz val="9"/>
        <color rgb="FFFF0000"/>
        <rFont val="Arial"/>
        <family val="2"/>
      </rPr>
      <t>2</t>
    </r>
  </si>
  <si>
    <t>IDEAL</t>
  </si>
  <si>
    <t>Coefi. Activ. 1</t>
  </si>
  <si>
    <t>Coef. Activ.2</t>
  </si>
  <si>
    <t>Fraccion molar fase Vapor</t>
  </si>
  <si>
    <t>REAL</t>
  </si>
  <si>
    <r>
      <t>Y</t>
    </r>
    <r>
      <rPr>
        <b/>
        <vertAlign val="subscript"/>
        <sz val="9"/>
        <color rgb="FFFF0000"/>
        <rFont val="Arial"/>
        <family val="2"/>
      </rPr>
      <t>1</t>
    </r>
    <r>
      <rPr>
        <b/>
        <sz val="9"/>
        <color rgb="FFFF0000"/>
        <rFont val="Arial"/>
        <family val="2"/>
      </rPr>
      <t>id</t>
    </r>
  </si>
  <si>
    <t>a) Prepare el diagrama Px1y1 a T = 31°C</t>
  </si>
  <si>
    <t>b) Prepare el diagrama T-x1y1 a P=105.33 Kpa</t>
  </si>
  <si>
    <t>P(Kpa)</t>
  </si>
  <si>
    <r>
      <t>T</t>
    </r>
    <r>
      <rPr>
        <b/>
        <vertAlign val="superscript"/>
        <sz val="9"/>
        <rFont val="Arial"/>
        <family val="2"/>
      </rPr>
      <t>sat</t>
    </r>
    <r>
      <rPr>
        <b/>
        <sz val="9"/>
        <rFont val="Arial"/>
        <family val="2"/>
      </rPr>
      <t>(K)</t>
    </r>
  </si>
  <si>
    <t>p2*</t>
  </si>
  <si>
    <t>p1*</t>
  </si>
  <si>
    <t>T=(K)</t>
  </si>
  <si>
    <t>presVapor comp1</t>
  </si>
  <si>
    <t>Pres vapor comp2</t>
  </si>
  <si>
    <t>X1ideal</t>
  </si>
  <si>
    <t>Y1ideal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</si>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</sst>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8" formatCode="0.000000"/>
    <numFmt numFmtId="169" formatCode="0.00000"/>
  </numFmts>
  <fonts count="10" x14ac:knownFonts="1">
    <font>
      <sz val="9"/>
      <name val="Arial"/>
      <family val="2"/>
    </font>
    <font>
      <sz val="10"/>
      <name val="Arial"/>
      <family val="2"/>
    </font>
    <font>
      <sz val="9"/>
      <name val="Calibri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b/>
      <vertAlign val="subscript"/>
      <sz val="9"/>
      <color rgb="FFFF0000"/>
      <name val="Arial"/>
      <family val="2"/>
    </font>
    <font>
      <vertAlign val="superscript"/>
      <sz val="9"/>
      <color rgb="FFFF0000"/>
      <name val="Arial"/>
      <family val="2"/>
    </font>
    <font>
      <b/>
      <sz val="9"/>
      <name val="Arial"/>
      <family val="2"/>
    </font>
    <font>
      <b/>
      <sz val="15"/>
      <name val="Arial"/>
      <family val="2"/>
    </font>
    <font>
      <b/>
      <vertAlign val="superscript"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165" fontId="0" fillId="0" borderId="1" xfId="0" applyNumberFormat="1" applyBorder="1"/>
    <xf numFmtId="165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Fill="1" applyBorder="1"/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0" fillId="0" borderId="1" xfId="0" applyFill="1" applyBorder="1"/>
    <xf numFmtId="0" fontId="0" fillId="2" borderId="1" xfId="0" applyFill="1" applyBorder="1"/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9" fontId="0" fillId="4" borderId="1" xfId="0" applyNumberFormat="1" applyFill="1" applyBorder="1" applyAlignment="1">
      <alignment horizontal="center"/>
    </xf>
    <xf numFmtId="164" fontId="0" fillId="4" borderId="1" xfId="0" applyNumberFormat="1" applyFill="1" applyBorder="1"/>
    <xf numFmtId="164" fontId="0" fillId="0" borderId="0" xfId="0" applyNumberFormat="1" applyBorder="1" applyAlignment="1">
      <alignment horizontal="center"/>
    </xf>
    <xf numFmtId="0" fontId="3" fillId="0" borderId="0" xfId="0" applyFont="1" applyFill="1" applyBorder="1"/>
    <xf numFmtId="0" fontId="7" fillId="5" borderId="1" xfId="0" applyFont="1" applyFill="1" applyBorder="1" applyAlignment="1">
      <alignment horizontal="center"/>
    </xf>
    <xf numFmtId="169" fontId="0" fillId="0" borderId="1" xfId="0" applyNumberFormat="1" applyBorder="1" applyAlignment="1">
      <alignment horizontal="center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7" fillId="5" borderId="1" xfId="0" applyFont="1" applyFill="1" applyBorder="1"/>
    <xf numFmtId="0" fontId="8" fillId="6" borderId="0" xfId="0" applyFont="1" applyFill="1"/>
    <xf numFmtId="0" fontId="0" fillId="6" borderId="0" xfId="0" applyFill="1"/>
    <xf numFmtId="0" fontId="0" fillId="2" borderId="0" xfId="0" applyFill="1"/>
    <xf numFmtId="0" fontId="7" fillId="2" borderId="0" xfId="0" applyFont="1" applyFill="1"/>
    <xf numFmtId="0" fontId="7" fillId="2" borderId="1" xfId="0" applyFont="1" applyFill="1" applyBorder="1"/>
    <xf numFmtId="0" fontId="7" fillId="0" borderId="1" xfId="0" applyFont="1" applyBorder="1"/>
    <xf numFmtId="0" fontId="7" fillId="2" borderId="2" xfId="0" applyFont="1" applyFill="1" applyBorder="1" applyAlignment="1">
      <alignment horizontal="center"/>
    </xf>
    <xf numFmtId="2" fontId="7" fillId="2" borderId="1" xfId="0" applyNumberFormat="1" applyFont="1" applyFill="1" applyBorder="1"/>
    <xf numFmtId="0" fontId="7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0" borderId="0" xfId="0" applyFill="1"/>
    <xf numFmtId="0" fontId="7" fillId="2" borderId="1" xfId="0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8" fontId="0" fillId="2" borderId="1" xfId="0" applyNumberFormat="1" applyFill="1" applyBorder="1"/>
    <xf numFmtId="0" fontId="4" fillId="2" borderId="0" xfId="0" applyFont="1" applyFill="1" applyAlignment="1">
      <alignment horizontal="center"/>
    </xf>
    <xf numFmtId="164" fontId="0" fillId="7" borderId="1" xfId="0" applyNumberFormat="1" applyFill="1" applyBorder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117650918635172"/>
                  <c:y val="1.682378244386118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</c:trendlineLbl>
          </c:trendline>
          <c:xVal>
            <c:numRef>
              <c:f>'Tarea 2'!$L$5:$L$15</c:f>
              <c:numCache>
                <c:formatCode>General</c:formatCode>
                <c:ptCount val="11"/>
                <c:pt idx="0">
                  <c:v>0</c:v>
                </c:pt>
                <c:pt idx="1">
                  <c:v>5.2631578947368425E-2</c:v>
                </c:pt>
                <c:pt idx="2">
                  <c:v>0.11111111111111112</c:v>
                </c:pt>
                <c:pt idx="3">
                  <c:v>0.17647058823529413</c:v>
                </c:pt>
                <c:pt idx="4">
                  <c:v>0.25</c:v>
                </c:pt>
                <c:pt idx="5">
                  <c:v>0.33333333333333331</c:v>
                </c:pt>
                <c:pt idx="6">
                  <c:v>0.4285714285714286</c:v>
                </c:pt>
                <c:pt idx="7">
                  <c:v>0.53846153846153844</c:v>
                </c:pt>
                <c:pt idx="8">
                  <c:v>0.66666666666666674</c:v>
                </c:pt>
                <c:pt idx="9">
                  <c:v>0.81818181818181812</c:v>
                </c:pt>
                <c:pt idx="10">
                  <c:v>1</c:v>
                </c:pt>
              </c:numCache>
            </c:numRef>
          </c:xVal>
          <c:yVal>
            <c:numRef>
              <c:f>'Tarea 2'!$K$5:$K$15</c:f>
              <c:numCache>
                <c:formatCode>0.000</c:formatCode>
                <c:ptCount val="11"/>
                <c:pt idx="0">
                  <c:v>0</c:v>
                </c:pt>
                <c:pt idx="1">
                  <c:v>-30.085420972768244</c:v>
                </c:pt>
                <c:pt idx="2">
                  <c:v>-9.3719002291179034</c:v>
                </c:pt>
                <c:pt idx="3">
                  <c:v>-5.4647867122890066</c:v>
                </c:pt>
                <c:pt idx="4">
                  <c:v>-3.6146659600475095</c:v>
                </c:pt>
                <c:pt idx="5">
                  <c:v>-2.5388412516369221</c:v>
                </c:pt>
                <c:pt idx="6">
                  <c:v>-1.8618766742251067</c:v>
                </c:pt>
                <c:pt idx="7">
                  <c:v>-1.4601849480435412</c:v>
                </c:pt>
                <c:pt idx="8">
                  <c:v>-1.3098833151508924</c:v>
                </c:pt>
                <c:pt idx="9">
                  <c:v>-1.776466530887201</c:v>
                </c:pt>
                <c:pt idx="10">
                  <c:v>-4.4238461263823421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5B3-4E41-9D2F-5ECD29B65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9214863"/>
        <c:axId val="989223599"/>
      </c:scatterChart>
      <c:valAx>
        <c:axId val="989214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23599"/>
        <c:crosses val="autoZero"/>
        <c:crossBetween val="midCat"/>
      </c:valAx>
      <c:valAx>
        <c:axId val="989223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148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958587217594214"/>
          <c:y val="6.3321117842096084E-2"/>
          <c:w val="0.67051597153389075"/>
          <c:h val="0.76284360318463973"/>
        </c:manualLayout>
      </c:layout>
      <c:scatterChart>
        <c:scatterStyle val="lineMarker"/>
        <c:varyColors val="0"/>
        <c:ser>
          <c:idx val="0"/>
          <c:order val="0"/>
          <c:tx>
            <c:v>X1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'Tarea 2'!$E$5:$E$15</c:f>
              <c:numCache>
                <c:formatCode>0.000</c:formatCode>
                <c:ptCount val="1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</c:numCache>
            </c:numRef>
          </c:xVal>
          <c:yVal>
            <c:numRef>
              <c:f>'Tarea 2'!$D$5:$D$15</c:f>
              <c:numCache>
                <c:formatCode>General</c:formatCode>
                <c:ptCount val="11"/>
                <c:pt idx="0">
                  <c:v>42.7</c:v>
                </c:pt>
                <c:pt idx="1">
                  <c:v>72.8</c:v>
                </c:pt>
                <c:pt idx="2">
                  <c:v>96.2</c:v>
                </c:pt>
                <c:pt idx="3">
                  <c:v>107.9</c:v>
                </c:pt>
                <c:pt idx="4">
                  <c:v>117</c:v>
                </c:pt>
                <c:pt idx="5">
                  <c:v>124.8</c:v>
                </c:pt>
                <c:pt idx="6">
                  <c:v>132</c:v>
                </c:pt>
                <c:pt idx="7">
                  <c:v>138.9</c:v>
                </c:pt>
                <c:pt idx="8">
                  <c:v>145.6</c:v>
                </c:pt>
                <c:pt idx="9">
                  <c:v>152.30000000000001</c:v>
                </c:pt>
                <c:pt idx="10">
                  <c:v>158.9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827-4376-B1D9-4496E6AE1A4F}"/>
            </c:ext>
          </c:extLst>
        </c:ser>
        <c:ser>
          <c:idx val="1"/>
          <c:order val="1"/>
          <c:tx>
            <c:v>Y1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'Tarea 2'!$G$5:$G$15</c:f>
              <c:numCache>
                <c:formatCode>0.000</c:formatCode>
                <c:ptCount val="11"/>
                <c:pt idx="0">
                  <c:v>0</c:v>
                </c:pt>
                <c:pt idx="1">
                  <c:v>0.47599999999999998</c:v>
                </c:pt>
                <c:pt idx="2">
                  <c:v>0.33200000000000002</c:v>
                </c:pt>
                <c:pt idx="3">
                  <c:v>0.36199999999999999</c:v>
                </c:pt>
                <c:pt idx="4">
                  <c:v>0.38400000000000001</c:v>
                </c:pt>
                <c:pt idx="5">
                  <c:v>0.40500000000000003</c:v>
                </c:pt>
                <c:pt idx="6">
                  <c:v>0.44</c:v>
                </c:pt>
                <c:pt idx="7">
                  <c:v>0.50700000000000001</c:v>
                </c:pt>
                <c:pt idx="8">
                  <c:v>0.60499999999999998</c:v>
                </c:pt>
                <c:pt idx="9">
                  <c:v>0.747</c:v>
                </c:pt>
                <c:pt idx="10">
                  <c:v>0.91200000000000003</c:v>
                </c:pt>
              </c:numCache>
            </c:numRef>
          </c:xVal>
          <c:yVal>
            <c:numRef>
              <c:f>'Tarea 2'!$D$5:$D$15</c:f>
              <c:numCache>
                <c:formatCode>General</c:formatCode>
                <c:ptCount val="11"/>
                <c:pt idx="0">
                  <c:v>42.7</c:v>
                </c:pt>
                <c:pt idx="1">
                  <c:v>72.8</c:v>
                </c:pt>
                <c:pt idx="2">
                  <c:v>96.2</c:v>
                </c:pt>
                <c:pt idx="3">
                  <c:v>107.9</c:v>
                </c:pt>
                <c:pt idx="4">
                  <c:v>117</c:v>
                </c:pt>
                <c:pt idx="5">
                  <c:v>124.8</c:v>
                </c:pt>
                <c:pt idx="6">
                  <c:v>132</c:v>
                </c:pt>
                <c:pt idx="7">
                  <c:v>138.9</c:v>
                </c:pt>
                <c:pt idx="8">
                  <c:v>145.6</c:v>
                </c:pt>
                <c:pt idx="9">
                  <c:v>152.30000000000001</c:v>
                </c:pt>
                <c:pt idx="10">
                  <c:v>158.9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827-4376-B1D9-4496E6AE1A4F}"/>
            </c:ext>
          </c:extLst>
        </c:ser>
        <c:ser>
          <c:idx val="2"/>
          <c:order val="2"/>
          <c:tx>
            <c:v>X1cal</c:v>
          </c:tx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'Tarea 2'!$Q$5:$Q$15</c:f>
              <c:numCache>
                <c:formatCode>General</c:formatCode>
                <c:ptCount val="11"/>
                <c:pt idx="0">
                  <c:v>0</c:v>
                </c:pt>
                <c:pt idx="1">
                  <c:v>0.37156936337708291</c:v>
                </c:pt>
                <c:pt idx="2">
                  <c:v>0.24750744749975737</c:v>
                </c:pt>
                <c:pt idx="3">
                  <c:v>0.26486328170636353</c:v>
                </c:pt>
                <c:pt idx="4">
                  <c:v>0.28200001831942234</c:v>
                </c:pt>
                <c:pt idx="5">
                  <c:v>0.30386709086943581</c:v>
                </c:pt>
                <c:pt idx="6">
                  <c:v>0.34190204809791119</c:v>
                </c:pt>
                <c:pt idx="7">
                  <c:v>0.41219481694374799</c:v>
                </c:pt>
                <c:pt idx="8">
                  <c:v>0.51849840034194006</c:v>
                </c:pt>
                <c:pt idx="9">
                  <c:v>0.6785101097821401</c:v>
                </c:pt>
                <c:pt idx="10">
                  <c:v>0.88128605402659921</c:v>
                </c:pt>
              </c:numCache>
            </c:numRef>
          </c:xVal>
          <c:yVal>
            <c:numRef>
              <c:f>'Tarea 2'!$O$5:$O$15</c:f>
              <c:numCache>
                <c:formatCode>General</c:formatCode>
                <c:ptCount val="11"/>
                <c:pt idx="0">
                  <c:v>182.78</c:v>
                </c:pt>
                <c:pt idx="1">
                  <c:v>185.11301337819603</c:v>
                </c:pt>
                <c:pt idx="2">
                  <c:v>188.59350772522473</c:v>
                </c:pt>
                <c:pt idx="3">
                  <c:v>192.87783910259577</c:v>
                </c:pt>
                <c:pt idx="4">
                  <c:v>197.51039697320672</c:v>
                </c:pt>
                <c:pt idx="5">
                  <c:v>202.0245561591492</c:v>
                </c:pt>
                <c:pt idx="6">
                  <c:v>206.02448121992313</c:v>
                </c:pt>
                <c:pt idx="7">
                  <c:v>209.2376020603719</c:v>
                </c:pt>
                <c:pt idx="8">
                  <c:v>211.53581601585091</c:v>
                </c:pt>
                <c:pt idx="9">
                  <c:v>212.92951847480197</c:v>
                </c:pt>
                <c:pt idx="10">
                  <c:v>213.5415266842198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827-4376-B1D9-4496E6AE1A4F}"/>
            </c:ext>
          </c:extLst>
        </c:ser>
        <c:ser>
          <c:idx val="3"/>
          <c:order val="3"/>
          <c:tx>
            <c:v>Y1cal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'Tarea 2'!$P$5:$P$15</c:f>
              <c:numCache>
                <c:formatCode>General</c:formatCode>
                <c:ptCount val="11"/>
                <c:pt idx="0">
                  <c:v>0</c:v>
                </c:pt>
                <c:pt idx="1">
                  <c:v>6.4052643586352001E-2</c:v>
                </c:pt>
                <c:pt idx="2">
                  <c:v>0.13413737782590382</c:v>
                </c:pt>
                <c:pt idx="3">
                  <c:v>0.20501142948231996</c:v>
                </c:pt>
                <c:pt idx="4">
                  <c:v>0.27234040784000368</c:v>
                </c:pt>
                <c:pt idx="5">
                  <c:v>0.33320488806569915</c:v>
                </c:pt>
                <c:pt idx="6">
                  <c:v>0.3860754878022809</c:v>
                </c:pt>
                <c:pt idx="7">
                  <c:v>0.4305003185525656</c:v>
                </c:pt>
                <c:pt idx="8">
                  <c:v>0.46673239462340782</c:v>
                </c:pt>
                <c:pt idx="9">
                  <c:v>0.49542371610046149</c:v>
                </c:pt>
                <c:pt idx="10">
                  <c:v>0.51742563940111652</c:v>
                </c:pt>
              </c:numCache>
            </c:numRef>
          </c:xVal>
          <c:yVal>
            <c:numRef>
              <c:f>'Tarea 2'!$O$5:$O$15</c:f>
              <c:numCache>
                <c:formatCode>General</c:formatCode>
                <c:ptCount val="11"/>
                <c:pt idx="0">
                  <c:v>182.78</c:v>
                </c:pt>
                <c:pt idx="1">
                  <c:v>185.11301337819603</c:v>
                </c:pt>
                <c:pt idx="2">
                  <c:v>188.59350772522473</c:v>
                </c:pt>
                <c:pt idx="3">
                  <c:v>192.87783910259577</c:v>
                </c:pt>
                <c:pt idx="4">
                  <c:v>197.51039697320672</c:v>
                </c:pt>
                <c:pt idx="5">
                  <c:v>202.0245561591492</c:v>
                </c:pt>
                <c:pt idx="6">
                  <c:v>206.02448121992313</c:v>
                </c:pt>
                <c:pt idx="7">
                  <c:v>209.2376020603719</c:v>
                </c:pt>
                <c:pt idx="8">
                  <c:v>211.53581601585091</c:v>
                </c:pt>
                <c:pt idx="9">
                  <c:v>212.92951847480197</c:v>
                </c:pt>
                <c:pt idx="10">
                  <c:v>213.5415266842198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827-4376-B1D9-4496E6AE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9266447"/>
        <c:axId val="989274767"/>
      </c:scatterChart>
      <c:valAx>
        <c:axId val="989266447"/>
        <c:scaling>
          <c:orientation val="minMax"/>
          <c:max val="1.1000000000000001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x1,y1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74767"/>
        <c:crosses val="autoZero"/>
        <c:crossBetween val="midCat"/>
        <c:majorUnit val="0.1"/>
      </c:valAx>
      <c:valAx>
        <c:axId val="989274767"/>
        <c:scaling>
          <c:orientation val="minMax"/>
          <c:min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 mmHg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664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117650918635172"/>
                  <c:y val="1.682378244386118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</c:trendlineLbl>
          </c:trendline>
          <c:xVal>
            <c:numRef>
              <c:f>Margules!$L$5:$L$15</c:f>
              <c:numCache>
                <c:formatCode>General</c:formatCode>
                <c:ptCount val="11"/>
                <c:pt idx="0">
                  <c:v>2.0408163265306124E-2</c:v>
                </c:pt>
                <c:pt idx="1">
                  <c:v>0.10497237569060773</c:v>
                </c:pt>
                <c:pt idx="2">
                  <c:v>0.25628140703517582</c:v>
                </c:pt>
                <c:pt idx="3">
                  <c:v>0.60771704180064312</c:v>
                </c:pt>
                <c:pt idx="4">
                  <c:v>0.96078431372549011</c:v>
                </c:pt>
                <c:pt idx="5">
                  <c:v>1.4509803921568625</c:v>
                </c:pt>
                <c:pt idx="6">
                  <c:v>2.3557046979865768</c:v>
                </c:pt>
                <c:pt idx="7">
                  <c:v>4.0505050505050519</c:v>
                </c:pt>
                <c:pt idx="8">
                  <c:v>7.3333333333333339</c:v>
                </c:pt>
                <c:pt idx="9">
                  <c:v>16.543859649122791</c:v>
                </c:pt>
                <c:pt idx="10">
                  <c:v>75.923076923076849</c:v>
                </c:pt>
              </c:numCache>
            </c:numRef>
          </c:xVal>
          <c:yVal>
            <c:numRef>
              <c:f>Margules!$K$5:$K$15</c:f>
              <c:numCache>
                <c:formatCode>0.000</c:formatCode>
                <c:ptCount val="11"/>
                <c:pt idx="0">
                  <c:v>2.2532225512894763</c:v>
                </c:pt>
                <c:pt idx="1">
                  <c:v>2.5283962901010582</c:v>
                </c:pt>
                <c:pt idx="2">
                  <c:v>2.5737327622357915</c:v>
                </c:pt>
                <c:pt idx="3">
                  <c:v>3.0023901766476815</c:v>
                </c:pt>
                <c:pt idx="4">
                  <c:v>3.4309642764550237</c:v>
                </c:pt>
                <c:pt idx="5">
                  <c:v>4.1475109242997892</c:v>
                </c:pt>
                <c:pt idx="6">
                  <c:v>5.4365117428906071</c:v>
                </c:pt>
                <c:pt idx="7">
                  <c:v>7.7698926592118331</c:v>
                </c:pt>
                <c:pt idx="8">
                  <c:v>12.441351146413716</c:v>
                </c:pt>
                <c:pt idx="9">
                  <c:v>26.896719815977661</c:v>
                </c:pt>
                <c:pt idx="10">
                  <c:v>154.06585507699975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6E-4367-8E1D-E0518631FE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9214863"/>
        <c:axId val="989223599"/>
      </c:scatterChart>
      <c:valAx>
        <c:axId val="989214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23599"/>
        <c:crosses val="autoZero"/>
        <c:crossBetween val="midCat"/>
      </c:valAx>
      <c:valAx>
        <c:axId val="989223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148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958587217594214"/>
          <c:y val="6.3321117842096084E-2"/>
          <c:w val="0.67051597153389075"/>
          <c:h val="0.76284360318463973"/>
        </c:manualLayout>
      </c:layout>
      <c:scatterChart>
        <c:scatterStyle val="lineMarker"/>
        <c:varyColors val="0"/>
        <c:ser>
          <c:idx val="0"/>
          <c:order val="0"/>
          <c:tx>
            <c:v>X1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Margules!$E$5:$E$15</c:f>
              <c:numCache>
                <c:formatCode>0.000</c:formatCode>
                <c:ptCount val="11"/>
                <c:pt idx="0">
                  <c:v>0.02</c:v>
                </c:pt>
                <c:pt idx="1">
                  <c:v>9.5000000000000001E-2</c:v>
                </c:pt>
                <c:pt idx="2">
                  <c:v>0.20399999999999999</c:v>
                </c:pt>
                <c:pt idx="3">
                  <c:v>0.378</c:v>
                </c:pt>
                <c:pt idx="4">
                  <c:v>0.49</c:v>
                </c:pt>
                <c:pt idx="5">
                  <c:v>0.59199999999999997</c:v>
                </c:pt>
                <c:pt idx="6">
                  <c:v>0.70199999999999996</c:v>
                </c:pt>
                <c:pt idx="7">
                  <c:v>0.80200000000000005</c:v>
                </c:pt>
                <c:pt idx="8">
                  <c:v>0.88</c:v>
                </c:pt>
                <c:pt idx="9">
                  <c:v>0.94299999999999995</c:v>
                </c:pt>
                <c:pt idx="10">
                  <c:v>0.98699999999999999</c:v>
                </c:pt>
              </c:numCache>
            </c:numRef>
          </c:xVal>
          <c:yVal>
            <c:numRef>
              <c:f>Margules!$D$5:$D$15</c:f>
              <c:numCache>
                <c:formatCode>General</c:formatCode>
                <c:ptCount val="11"/>
                <c:pt idx="0">
                  <c:v>208.4</c:v>
                </c:pt>
                <c:pt idx="1">
                  <c:v>239.8</c:v>
                </c:pt>
                <c:pt idx="2">
                  <c:v>249.1</c:v>
                </c:pt>
                <c:pt idx="3">
                  <c:v>252.3</c:v>
                </c:pt>
                <c:pt idx="4">
                  <c:v>248.8</c:v>
                </c:pt>
                <c:pt idx="5">
                  <c:v>245.7</c:v>
                </c:pt>
                <c:pt idx="6">
                  <c:v>237.3</c:v>
                </c:pt>
                <c:pt idx="7">
                  <c:v>219.4</c:v>
                </c:pt>
                <c:pt idx="8">
                  <c:v>196.3</c:v>
                </c:pt>
                <c:pt idx="9">
                  <c:v>169.5</c:v>
                </c:pt>
                <c:pt idx="10">
                  <c:v>145.6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B2-491F-8027-96CD47C4AF4C}"/>
            </c:ext>
          </c:extLst>
        </c:ser>
        <c:ser>
          <c:idx val="1"/>
          <c:order val="1"/>
          <c:tx>
            <c:v>Y1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Margules!$G$5:$G$15</c:f>
              <c:numCache>
                <c:formatCode>0.000</c:formatCode>
                <c:ptCount val="11"/>
                <c:pt idx="0">
                  <c:v>0.14499999999999999</c:v>
                </c:pt>
                <c:pt idx="1">
                  <c:v>0.28000000000000003</c:v>
                </c:pt>
                <c:pt idx="2">
                  <c:v>0.33200000000000002</c:v>
                </c:pt>
                <c:pt idx="3">
                  <c:v>0.36199999999999999</c:v>
                </c:pt>
                <c:pt idx="4">
                  <c:v>0.38400000000000001</c:v>
                </c:pt>
                <c:pt idx="5">
                  <c:v>0.40500000000000003</c:v>
                </c:pt>
                <c:pt idx="6">
                  <c:v>0.44</c:v>
                </c:pt>
                <c:pt idx="7">
                  <c:v>0.50700000000000001</c:v>
                </c:pt>
                <c:pt idx="8">
                  <c:v>0.60499999999999998</c:v>
                </c:pt>
                <c:pt idx="9">
                  <c:v>0.747</c:v>
                </c:pt>
                <c:pt idx="10">
                  <c:v>0.91200000000000003</c:v>
                </c:pt>
              </c:numCache>
            </c:numRef>
          </c:xVal>
          <c:yVal>
            <c:numRef>
              <c:f>Margules!$D$5:$D$15</c:f>
              <c:numCache>
                <c:formatCode>General</c:formatCode>
                <c:ptCount val="11"/>
                <c:pt idx="0">
                  <c:v>208.4</c:v>
                </c:pt>
                <c:pt idx="1">
                  <c:v>239.8</c:v>
                </c:pt>
                <c:pt idx="2">
                  <c:v>249.1</c:v>
                </c:pt>
                <c:pt idx="3">
                  <c:v>252.3</c:v>
                </c:pt>
                <c:pt idx="4">
                  <c:v>248.8</c:v>
                </c:pt>
                <c:pt idx="5">
                  <c:v>245.7</c:v>
                </c:pt>
                <c:pt idx="6">
                  <c:v>237.3</c:v>
                </c:pt>
                <c:pt idx="7">
                  <c:v>219.4</c:v>
                </c:pt>
                <c:pt idx="8">
                  <c:v>196.3</c:v>
                </c:pt>
                <c:pt idx="9">
                  <c:v>169.5</c:v>
                </c:pt>
                <c:pt idx="10">
                  <c:v>145.6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AB2-491F-8027-96CD47C4AF4C}"/>
            </c:ext>
          </c:extLst>
        </c:ser>
        <c:ser>
          <c:idx val="2"/>
          <c:order val="2"/>
          <c:tx>
            <c:v>X1cal</c:v>
          </c:tx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Margules!$Q$5:$Q$15</c:f>
              <c:numCache>
                <c:formatCode>General</c:formatCode>
                <c:ptCount val="11"/>
                <c:pt idx="0">
                  <c:v>0.11811009289986561</c:v>
                </c:pt>
                <c:pt idx="1">
                  <c:v>0.20943025913348995</c:v>
                </c:pt>
                <c:pt idx="2">
                  <c:v>0.24408601796953033</c:v>
                </c:pt>
                <c:pt idx="3">
                  <c:v>0.30289253988500509</c:v>
                </c:pt>
                <c:pt idx="4">
                  <c:v>0.36641519986516363</c:v>
                </c:pt>
                <c:pt idx="5">
                  <c:v>0.44099853445581344</c:v>
                </c:pt>
                <c:pt idx="6">
                  <c:v>0.5520016698331679</c:v>
                </c:pt>
                <c:pt idx="7">
                  <c:v>0.70679359868195479</c:v>
                </c:pt>
                <c:pt idx="8">
                  <c:v>0.86816363432097787</c:v>
                </c:pt>
                <c:pt idx="9">
                  <c:v>0.9960652652796147</c:v>
                </c:pt>
                <c:pt idx="10">
                  <c:v>1.0092986801856627</c:v>
                </c:pt>
              </c:numCache>
            </c:numRef>
          </c:xVal>
          <c:yVal>
            <c:numRef>
              <c:f>Margules!$O$5:$O$15</c:f>
              <c:numCache>
                <c:formatCode>General</c:formatCode>
                <c:ptCount val="11"/>
                <c:pt idx="0">
                  <c:v>183.56131656588246</c:v>
                </c:pt>
                <c:pt idx="1">
                  <c:v>188.20238887099916</c:v>
                </c:pt>
                <c:pt idx="2">
                  <c:v>197.88176074249077</c:v>
                </c:pt>
                <c:pt idx="3">
                  <c:v>210.63961663587597</c:v>
                </c:pt>
                <c:pt idx="4">
                  <c:v>213.47294131067423</c:v>
                </c:pt>
                <c:pt idx="5">
                  <c:v>213.29961653614379</c:v>
                </c:pt>
                <c:pt idx="6">
                  <c:v>212.0761178233642</c:v>
                </c:pt>
                <c:pt idx="7">
                  <c:v>209.48144772726832</c:v>
                </c:pt>
                <c:pt idx="8">
                  <c:v>201.25696705576121</c:v>
                </c:pt>
                <c:pt idx="9">
                  <c:v>180.65908030904552</c:v>
                </c:pt>
                <c:pt idx="10">
                  <c:v>148.40549082868563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AB2-491F-8027-96CD47C4AF4C}"/>
            </c:ext>
          </c:extLst>
        </c:ser>
        <c:ser>
          <c:idx val="3"/>
          <c:order val="3"/>
          <c:tx>
            <c:v>Y1cal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Margules!$P$5:$P$15</c:f>
              <c:numCache>
                <c:formatCode>General</c:formatCode>
                <c:ptCount val="11"/>
                <c:pt idx="0">
                  <c:v>2.4553363127557914E-2</c:v>
                </c:pt>
                <c:pt idx="1">
                  <c:v>0.1270112547730998</c:v>
                </c:pt>
                <c:pt idx="2">
                  <c:v>0.27747595115609858</c:v>
                </c:pt>
                <c:pt idx="3">
                  <c:v>0.45176418029955634</c:v>
                </c:pt>
                <c:pt idx="4">
                  <c:v>0.51351581503507648</c:v>
                </c:pt>
                <c:pt idx="5">
                  <c:v>0.54367527614544298</c:v>
                </c:pt>
                <c:pt idx="6">
                  <c:v>0.55956352467801973</c:v>
                </c:pt>
                <c:pt idx="7">
                  <c:v>0.5752938350860326</c:v>
                </c:pt>
                <c:pt idx="8">
                  <c:v>0.6132484464364939</c:v>
                </c:pt>
                <c:pt idx="9">
                  <c:v>0.70720365879062708</c:v>
                </c:pt>
                <c:pt idx="10">
                  <c:v>0.89185096312066581</c:v>
                </c:pt>
              </c:numCache>
            </c:numRef>
          </c:xVal>
          <c:yVal>
            <c:numRef>
              <c:f>Margules!$O$5:$O$15</c:f>
              <c:numCache>
                <c:formatCode>General</c:formatCode>
                <c:ptCount val="11"/>
                <c:pt idx="0">
                  <c:v>183.56131656588246</c:v>
                </c:pt>
                <c:pt idx="1">
                  <c:v>188.20238887099916</c:v>
                </c:pt>
                <c:pt idx="2">
                  <c:v>197.88176074249077</c:v>
                </c:pt>
                <c:pt idx="3">
                  <c:v>210.63961663587597</c:v>
                </c:pt>
                <c:pt idx="4">
                  <c:v>213.47294131067423</c:v>
                </c:pt>
                <c:pt idx="5">
                  <c:v>213.29961653614379</c:v>
                </c:pt>
                <c:pt idx="6">
                  <c:v>212.0761178233642</c:v>
                </c:pt>
                <c:pt idx="7">
                  <c:v>209.48144772726832</c:v>
                </c:pt>
                <c:pt idx="8">
                  <c:v>201.25696705576121</c:v>
                </c:pt>
                <c:pt idx="9">
                  <c:v>180.65908030904552</c:v>
                </c:pt>
                <c:pt idx="10">
                  <c:v>148.40549082868563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B2-491F-8027-96CD47C4AF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9266447"/>
        <c:axId val="989274767"/>
      </c:scatterChart>
      <c:valAx>
        <c:axId val="989266447"/>
        <c:scaling>
          <c:orientation val="minMax"/>
          <c:max val="1.1000000000000001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x1,y1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74767"/>
        <c:crosses val="autoZero"/>
        <c:crossBetween val="midCat"/>
        <c:majorUnit val="0.1"/>
      </c:valAx>
      <c:valAx>
        <c:axId val="989274767"/>
        <c:scaling>
          <c:orientation val="minMax"/>
          <c:min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 mmHg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664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958587217594214"/>
          <c:y val="6.3321117842096084E-2"/>
          <c:w val="0.69353515643206254"/>
          <c:h val="0.76284360318463973"/>
        </c:manualLayout>
      </c:layout>
      <c:scatterChart>
        <c:scatterStyle val="lineMarker"/>
        <c:varyColors val="0"/>
        <c:ser>
          <c:idx val="0"/>
          <c:order val="0"/>
          <c:tx>
            <c:v>X1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'Tarea 1 - Wilson'!$C$3:$C$13</c:f>
              <c:numCache>
                <c:formatCode>0.000</c:formatCode>
                <c:ptCount val="11"/>
                <c:pt idx="0">
                  <c:v>0.02</c:v>
                </c:pt>
                <c:pt idx="1">
                  <c:v>9.5000000000000001E-2</c:v>
                </c:pt>
                <c:pt idx="2">
                  <c:v>0.20399999999999999</c:v>
                </c:pt>
                <c:pt idx="3">
                  <c:v>0.378</c:v>
                </c:pt>
                <c:pt idx="4">
                  <c:v>0.49</c:v>
                </c:pt>
                <c:pt idx="5">
                  <c:v>0.59199999999999997</c:v>
                </c:pt>
                <c:pt idx="6">
                  <c:v>0.70199999999999996</c:v>
                </c:pt>
                <c:pt idx="7">
                  <c:v>0.80200000000000005</c:v>
                </c:pt>
                <c:pt idx="8">
                  <c:v>0.88</c:v>
                </c:pt>
                <c:pt idx="9">
                  <c:v>0.94299999999999995</c:v>
                </c:pt>
                <c:pt idx="10">
                  <c:v>0.98699999999999999</c:v>
                </c:pt>
              </c:numCache>
            </c:numRef>
          </c:xVal>
          <c:yVal>
            <c:numRef>
              <c:f>'Tarea 1 - Wilson'!$B$3:$B$13</c:f>
              <c:numCache>
                <c:formatCode>General</c:formatCode>
                <c:ptCount val="11"/>
                <c:pt idx="0">
                  <c:v>208.4</c:v>
                </c:pt>
                <c:pt idx="1">
                  <c:v>239.8</c:v>
                </c:pt>
                <c:pt idx="2">
                  <c:v>249.1</c:v>
                </c:pt>
                <c:pt idx="3">
                  <c:v>252.3</c:v>
                </c:pt>
                <c:pt idx="4">
                  <c:v>248.8</c:v>
                </c:pt>
                <c:pt idx="5">
                  <c:v>245.7</c:v>
                </c:pt>
                <c:pt idx="6">
                  <c:v>237.3</c:v>
                </c:pt>
                <c:pt idx="7">
                  <c:v>219.4</c:v>
                </c:pt>
                <c:pt idx="8">
                  <c:v>196.3</c:v>
                </c:pt>
                <c:pt idx="9">
                  <c:v>169.5</c:v>
                </c:pt>
                <c:pt idx="10">
                  <c:v>145.6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50-4A88-967C-2FD073E295A6}"/>
            </c:ext>
          </c:extLst>
        </c:ser>
        <c:ser>
          <c:idx val="1"/>
          <c:order val="1"/>
          <c:tx>
            <c:v>Y1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'Tarea 1 - Wilson'!$E$3:$E$13</c:f>
              <c:numCache>
                <c:formatCode>0.000</c:formatCode>
                <c:ptCount val="11"/>
                <c:pt idx="0">
                  <c:v>0.14499999999999999</c:v>
                </c:pt>
                <c:pt idx="1">
                  <c:v>0.28000000000000003</c:v>
                </c:pt>
                <c:pt idx="2">
                  <c:v>0.33200000000000002</c:v>
                </c:pt>
                <c:pt idx="3">
                  <c:v>0.36199999999999999</c:v>
                </c:pt>
                <c:pt idx="4">
                  <c:v>0.38400000000000001</c:v>
                </c:pt>
                <c:pt idx="5">
                  <c:v>0.40500000000000003</c:v>
                </c:pt>
                <c:pt idx="6">
                  <c:v>0.44</c:v>
                </c:pt>
                <c:pt idx="7">
                  <c:v>0.50700000000000001</c:v>
                </c:pt>
                <c:pt idx="8">
                  <c:v>0.60499999999999998</c:v>
                </c:pt>
                <c:pt idx="9">
                  <c:v>0.747</c:v>
                </c:pt>
                <c:pt idx="10">
                  <c:v>0.91200000000000003</c:v>
                </c:pt>
              </c:numCache>
            </c:numRef>
          </c:xVal>
          <c:yVal>
            <c:numRef>
              <c:f>'Tarea 1 - Wilson'!$B$3:$B$13</c:f>
              <c:numCache>
                <c:formatCode>General</c:formatCode>
                <c:ptCount val="11"/>
                <c:pt idx="0">
                  <c:v>208.4</c:v>
                </c:pt>
                <c:pt idx="1">
                  <c:v>239.8</c:v>
                </c:pt>
                <c:pt idx="2">
                  <c:v>249.1</c:v>
                </c:pt>
                <c:pt idx="3">
                  <c:v>252.3</c:v>
                </c:pt>
                <c:pt idx="4">
                  <c:v>248.8</c:v>
                </c:pt>
                <c:pt idx="5">
                  <c:v>245.7</c:v>
                </c:pt>
                <c:pt idx="6">
                  <c:v>237.3</c:v>
                </c:pt>
                <c:pt idx="7">
                  <c:v>219.4</c:v>
                </c:pt>
                <c:pt idx="8">
                  <c:v>196.3</c:v>
                </c:pt>
                <c:pt idx="9">
                  <c:v>169.5</c:v>
                </c:pt>
                <c:pt idx="10">
                  <c:v>145.6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C50-4A88-967C-2FD073E295A6}"/>
            </c:ext>
          </c:extLst>
        </c:ser>
        <c:ser>
          <c:idx val="2"/>
          <c:order val="2"/>
          <c:tx>
            <c:v>X1cal</c:v>
          </c:tx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'Tarea 1 - Wilson'!$N$3:$N$13</c:f>
              <c:numCache>
                <c:formatCode>General</c:formatCode>
                <c:ptCount val="11"/>
                <c:pt idx="0">
                  <c:v>2.8718168134808975E-2</c:v>
                </c:pt>
                <c:pt idx="1">
                  <c:v>0.10335428168064317</c:v>
                </c:pt>
                <c:pt idx="2">
                  <c:v>0.20635557554486741</c:v>
                </c:pt>
                <c:pt idx="3">
                  <c:v>0.36501949967473357</c:v>
                </c:pt>
                <c:pt idx="4">
                  <c:v>0.47218699156821214</c:v>
                </c:pt>
                <c:pt idx="5">
                  <c:v>0.56560545266558071</c:v>
                </c:pt>
                <c:pt idx="6">
                  <c:v>0.66686255319642207</c:v>
                </c:pt>
                <c:pt idx="7">
                  <c:v>0.77700637666921146</c:v>
                </c:pt>
                <c:pt idx="8">
                  <c:v>0.87473149895878932</c:v>
                </c:pt>
                <c:pt idx="9">
                  <c:v>0.95185581005338171</c:v>
                </c:pt>
                <c:pt idx="10">
                  <c:v>0.98049708965234073</c:v>
                </c:pt>
              </c:numCache>
            </c:numRef>
          </c:xVal>
          <c:yVal>
            <c:numRef>
              <c:f>'Tarea 1 - Wilson'!$L$3:$L$13</c:f>
              <c:numCache>
                <c:formatCode>General</c:formatCode>
                <c:ptCount val="11"/>
                <c:pt idx="0">
                  <c:v>199.57323493982122</c:v>
                </c:pt>
                <c:pt idx="1">
                  <c:v>229.54133324640105</c:v>
                </c:pt>
                <c:pt idx="2">
                  <c:v>241.92656016066331</c:v>
                </c:pt>
                <c:pt idx="3">
                  <c:v>245.44066443629561</c:v>
                </c:pt>
                <c:pt idx="4">
                  <c:v>244.27822569432928</c:v>
                </c:pt>
                <c:pt idx="5">
                  <c:v>240.91897921491142</c:v>
                </c:pt>
                <c:pt idx="6">
                  <c:v>233.08753514651863</c:v>
                </c:pt>
                <c:pt idx="7">
                  <c:v>218.75208026247122</c:v>
                </c:pt>
                <c:pt idx="8">
                  <c:v>198.49637052712453</c:v>
                </c:pt>
                <c:pt idx="9">
                  <c:v>171.74280220264444</c:v>
                </c:pt>
                <c:pt idx="10">
                  <c:v>144.1296183392993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C50-4A88-967C-2FD073E295A6}"/>
            </c:ext>
          </c:extLst>
        </c:ser>
        <c:ser>
          <c:idx val="3"/>
          <c:order val="3"/>
          <c:tx>
            <c:v>Y1cal</c:v>
          </c:tx>
          <c:spPr>
            <a:ln w="2540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'Tarea 1 - Wilson'!$M$3:$M$13</c:f>
              <c:numCache>
                <c:formatCode>0.000</c:formatCode>
                <c:ptCount val="11"/>
                <c:pt idx="0">
                  <c:v>0.10098137131821239</c:v>
                </c:pt>
                <c:pt idx="1">
                  <c:v>0.25736717983481294</c:v>
                </c:pt>
                <c:pt idx="2">
                  <c:v>0.32821017712348677</c:v>
                </c:pt>
                <c:pt idx="3">
                  <c:v>0.37487312355075181</c:v>
                </c:pt>
                <c:pt idx="4">
                  <c:v>0.39848620008587932</c:v>
                </c:pt>
                <c:pt idx="5">
                  <c:v>0.42389973234886813</c:v>
                </c:pt>
                <c:pt idx="6">
                  <c:v>0.46318390276897203</c:v>
                </c:pt>
                <c:pt idx="7">
                  <c:v>0.52330844663467224</c:v>
                </c:pt>
                <c:pt idx="8">
                  <c:v>0.60864391031273768</c:v>
                </c:pt>
                <c:pt idx="9">
                  <c:v>0.74005011322092451</c:v>
                </c:pt>
                <c:pt idx="10">
                  <c:v>0.91804861992927278</c:v>
                </c:pt>
              </c:numCache>
            </c:numRef>
          </c:xVal>
          <c:yVal>
            <c:numRef>
              <c:f>'Tarea 1 - Wilson'!$L$3:$L$13</c:f>
              <c:numCache>
                <c:formatCode>General</c:formatCode>
                <c:ptCount val="11"/>
                <c:pt idx="0">
                  <c:v>199.57323493982122</c:v>
                </c:pt>
                <c:pt idx="1">
                  <c:v>229.54133324640105</c:v>
                </c:pt>
                <c:pt idx="2">
                  <c:v>241.92656016066331</c:v>
                </c:pt>
                <c:pt idx="3">
                  <c:v>245.44066443629561</c:v>
                </c:pt>
                <c:pt idx="4">
                  <c:v>244.27822569432928</c:v>
                </c:pt>
                <c:pt idx="5">
                  <c:v>240.91897921491142</c:v>
                </c:pt>
                <c:pt idx="6">
                  <c:v>233.08753514651863</c:v>
                </c:pt>
                <c:pt idx="7">
                  <c:v>218.75208026247122</c:v>
                </c:pt>
                <c:pt idx="8">
                  <c:v>198.49637052712453</c:v>
                </c:pt>
                <c:pt idx="9">
                  <c:v>171.74280220264444</c:v>
                </c:pt>
                <c:pt idx="10">
                  <c:v>144.1296183392993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C50-4A88-967C-2FD073E295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9266447"/>
        <c:axId val="989274767"/>
      </c:scatterChart>
      <c:valAx>
        <c:axId val="989266447"/>
        <c:scaling>
          <c:orientation val="minMax"/>
          <c:max val="1.1000000000000001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X1,Y1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74767"/>
        <c:crosses val="autoZero"/>
        <c:crossBetween val="midCat"/>
        <c:majorUnit val="0.1"/>
      </c:valAx>
      <c:valAx>
        <c:axId val="989274767"/>
        <c:scaling>
          <c:orientation val="minMax"/>
          <c:min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 mmHg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892664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'Clase ELV'!$K$17</c:f>
              <c:strCache>
                <c:ptCount val="1"/>
                <c:pt idx="0">
                  <c:v>Pid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'Clase ELV'!$J$18:$J$28</c:f>
              <c:numCache>
                <c:formatCode>General</c:formatCode>
                <c:ptCount val="11"/>
                <c:pt idx="0">
                  <c:v>1</c:v>
                </c:pt>
                <c:pt idx="1">
                  <c:v>0.9</c:v>
                </c:pt>
                <c:pt idx="2">
                  <c:v>0.8</c:v>
                </c:pt>
                <c:pt idx="3">
                  <c:v>0.7</c:v>
                </c:pt>
                <c:pt idx="4">
                  <c:v>0.6</c:v>
                </c:pt>
                <c:pt idx="5">
                  <c:v>0.5</c:v>
                </c:pt>
                <c:pt idx="6">
                  <c:v>0.4</c:v>
                </c:pt>
                <c:pt idx="7">
                  <c:v>0.30000000000000004</c:v>
                </c:pt>
                <c:pt idx="8">
                  <c:v>0.19999999999999996</c:v>
                </c:pt>
                <c:pt idx="9">
                  <c:v>9.9999999999999978E-2</c:v>
                </c:pt>
                <c:pt idx="10">
                  <c:v>0</c:v>
                </c:pt>
              </c:numCache>
            </c:numRef>
          </c:xVal>
          <c:yVal>
            <c:numRef>
              <c:f>'Clase ELV'!$K$18:$K$28</c:f>
              <c:numCache>
                <c:formatCode>0.00000</c:formatCode>
                <c:ptCount val="11"/>
                <c:pt idx="0">
                  <c:v>0.30246245469511812</c:v>
                </c:pt>
                <c:pt idx="1">
                  <c:v>0.29697974055664123</c:v>
                </c:pt>
                <c:pt idx="2">
                  <c:v>0.29149702641816433</c:v>
                </c:pt>
                <c:pt idx="3">
                  <c:v>0.28601431227968743</c:v>
                </c:pt>
                <c:pt idx="4">
                  <c:v>0.28053159814121054</c:v>
                </c:pt>
                <c:pt idx="5">
                  <c:v>0.27504888400273364</c:v>
                </c:pt>
                <c:pt idx="6">
                  <c:v>0.26956616986425674</c:v>
                </c:pt>
                <c:pt idx="7">
                  <c:v>0.2640834557257799</c:v>
                </c:pt>
                <c:pt idx="8">
                  <c:v>0.25860074158730295</c:v>
                </c:pt>
                <c:pt idx="9">
                  <c:v>0.25311802744882606</c:v>
                </c:pt>
                <c:pt idx="10">
                  <c:v>0.24763531331034919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4DE-4B27-B1D3-EADA5DD454BA}"/>
            </c:ext>
          </c:extLst>
        </c:ser>
        <c:ser>
          <c:idx val="1"/>
          <c:order val="1"/>
          <c:tx>
            <c:strRef>
              <c:f>'Clase ELV'!$L$17</c:f>
              <c:strCache>
                <c:ptCount val="1"/>
                <c:pt idx="0">
                  <c:v>Y1id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'Clase ELV'!$J$18:$J$28</c:f>
              <c:numCache>
                <c:formatCode>General</c:formatCode>
                <c:ptCount val="11"/>
                <c:pt idx="0">
                  <c:v>1</c:v>
                </c:pt>
                <c:pt idx="1">
                  <c:v>0.9</c:v>
                </c:pt>
                <c:pt idx="2">
                  <c:v>0.8</c:v>
                </c:pt>
                <c:pt idx="3">
                  <c:v>0.7</c:v>
                </c:pt>
                <c:pt idx="4">
                  <c:v>0.6</c:v>
                </c:pt>
                <c:pt idx="5">
                  <c:v>0.5</c:v>
                </c:pt>
                <c:pt idx="6">
                  <c:v>0.4</c:v>
                </c:pt>
                <c:pt idx="7">
                  <c:v>0.30000000000000004</c:v>
                </c:pt>
                <c:pt idx="8">
                  <c:v>0.19999999999999996</c:v>
                </c:pt>
                <c:pt idx="9">
                  <c:v>9.9999999999999978E-2</c:v>
                </c:pt>
                <c:pt idx="10">
                  <c:v>0</c:v>
                </c:pt>
              </c:numCache>
            </c:numRef>
          </c:xVal>
          <c:yVal>
            <c:numRef>
              <c:f>'Clase ELV'!$L$18:$L$28</c:f>
              <c:numCache>
                <c:formatCode>0.0000</c:formatCode>
                <c:ptCount val="11"/>
                <c:pt idx="0">
                  <c:v>0</c:v>
                </c:pt>
                <c:pt idx="1">
                  <c:v>8.3384581334132846E-2</c:v>
                </c:pt>
                <c:pt idx="2">
                  <c:v>0.16990589328009562</c:v>
                </c:pt>
                <c:pt idx="3">
                  <c:v>0.25974432328567365</c:v>
                </c:pt>
                <c:pt idx="4">
                  <c:v>0.35309436077956191</c:v>
                </c:pt>
                <c:pt idx="5">
                  <c:v>0.45016600268752227</c:v>
                </c:pt>
                <c:pt idx="6">
                  <c:v>0.55118633046954424</c:v>
                </c:pt>
                <c:pt idx="7">
                  <c:v>0.65640128360499361</c:v>
                </c:pt>
                <c:pt idx="8">
                  <c:v>0.76607765868064426</c:v>
                </c:pt>
                <c:pt idx="9">
                  <c:v>0.8805053682886067</c:v>
                </c:pt>
                <c:pt idx="1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4DE-4B27-B1D3-EADA5DD454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7070735"/>
        <c:axId val="819205935"/>
      </c:scatterChart>
      <c:valAx>
        <c:axId val="817070735"/>
        <c:scaling>
          <c:orientation val="minMax"/>
          <c:max val="1"/>
          <c:min val="-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19205935"/>
        <c:crosses val="autoZero"/>
        <c:crossBetween val="midCat"/>
      </c:valAx>
      <c:valAx>
        <c:axId val="819205935"/>
        <c:scaling>
          <c:orientation val="minMax"/>
          <c:max val="0.3025000000000000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170707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477537182852143"/>
          <c:y val="2.5428331875182269E-2"/>
          <c:w val="0.84589129483814518"/>
          <c:h val="0.8416746864975212"/>
        </c:manualLayout>
      </c:layout>
      <c:scatterChart>
        <c:scatterStyle val="lineMarker"/>
        <c:varyColors val="0"/>
        <c:ser>
          <c:idx val="0"/>
          <c:order val="0"/>
          <c:tx>
            <c:strRef>
              <c:f>'Clase ELV'!$F$17</c:f>
              <c:strCache>
                <c:ptCount val="1"/>
                <c:pt idx="0">
                  <c:v>y1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'Clase ELV'!$E$18:$E$28</c:f>
              <c:numCache>
                <c:formatCode>General</c:formatCode>
                <c:ptCount val="1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</c:numCache>
            </c:numRef>
          </c:xVal>
          <c:yVal>
            <c:numRef>
              <c:f>'Clase ELV'!$F$18:$F$28</c:f>
              <c:numCache>
                <c:formatCode>0.0000</c:formatCode>
                <c:ptCount val="11"/>
                <c:pt idx="0">
                  <c:v>1.5683121854901689</c:v>
                </c:pt>
                <c:pt idx="1">
                  <c:v>1.4397939311793866</c:v>
                </c:pt>
                <c:pt idx="2">
                  <c:v>1.3337573041233846</c:v>
                </c:pt>
                <c:pt idx="3">
                  <c:v>1.2466999247382289</c:v>
                </c:pt>
                <c:pt idx="4">
                  <c:v>1.1758602413209998</c:v>
                </c:pt>
                <c:pt idx="5">
                  <c:v>1.1190722569127807</c:v>
                </c:pt>
                <c:pt idx="6">
                  <c:v>1.0746553440638136</c:v>
                </c:pt>
                <c:pt idx="7">
                  <c:v>1.0413313097025174</c:v>
                </c:pt>
                <c:pt idx="8">
                  <c:v>1.0181629763897937</c:v>
                </c:pt>
                <c:pt idx="9">
                  <c:v>1.0045101402046013</c:v>
                </c:pt>
                <c:pt idx="1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716-43D1-8C20-F999873C0D53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'Clase ELV'!$E$17:$E$28</c:f>
              <c:strCache>
                <c:ptCount val="12"/>
                <c:pt idx="0">
                  <c:v>x1</c:v>
                </c:pt>
                <c:pt idx="1">
                  <c:v>0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0.4</c:v>
                </c:pt>
                <c:pt idx="6">
                  <c:v>0.5</c:v>
                </c:pt>
                <c:pt idx="7">
                  <c:v>0.6</c:v>
                </c:pt>
                <c:pt idx="8">
                  <c:v>0.7</c:v>
                </c:pt>
                <c:pt idx="9">
                  <c:v>0.8</c:v>
                </c:pt>
                <c:pt idx="10">
                  <c:v>0.9</c:v>
                </c:pt>
                <c:pt idx="11">
                  <c:v>1</c:v>
                </c:pt>
              </c:strCache>
            </c:strRef>
          </c:xVal>
          <c:yVal>
            <c:numRef>
              <c:f>'Clase ELV'!$G$17:$G$28</c:f>
              <c:numCache>
                <c:formatCode>0.0000</c:formatCode>
                <c:ptCount val="12"/>
                <c:pt idx="0" formatCode="General">
                  <c:v>0</c:v>
                </c:pt>
                <c:pt idx="1">
                  <c:v>1</c:v>
                </c:pt>
                <c:pt idx="2">
                  <c:v>1.0045101402046013</c:v>
                </c:pt>
                <c:pt idx="3">
                  <c:v>1.0181629763897937</c:v>
                </c:pt>
                <c:pt idx="4">
                  <c:v>1.0413313097025174</c:v>
                </c:pt>
                <c:pt idx="5">
                  <c:v>1.0746553440638136</c:v>
                </c:pt>
                <c:pt idx="6">
                  <c:v>1.1190722569127807</c:v>
                </c:pt>
                <c:pt idx="7">
                  <c:v>1.1758602413209998</c:v>
                </c:pt>
                <c:pt idx="8">
                  <c:v>1.2466999247382289</c:v>
                </c:pt>
                <c:pt idx="9">
                  <c:v>1.3337573041233846</c:v>
                </c:pt>
                <c:pt idx="10">
                  <c:v>1.4397939311793866</c:v>
                </c:pt>
                <c:pt idx="11">
                  <c:v>1.5683121854901689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716-43D1-8C20-F999873C0D53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'Clase ELV'!$I$17:$I$28</c:f>
              <c:strCache>
                <c:ptCount val="12"/>
                <c:pt idx="0">
                  <c:v>Y1</c:v>
                </c:pt>
                <c:pt idx="1">
                  <c:v>0.0000</c:v>
                </c:pt>
                <c:pt idx="2">
                  <c:v>0.1153</c:v>
                </c:pt>
                <c:pt idx="3">
                  <c:v>0.2114</c:v>
                </c:pt>
                <c:pt idx="4">
                  <c:v>0.2958</c:v>
                </c:pt>
                <c:pt idx="5">
                  <c:v>0.3739</c:v>
                </c:pt>
                <c:pt idx="6">
                  <c:v>0.4502</c:v>
                </c:pt>
                <c:pt idx="7">
                  <c:v>0.5288</c:v>
                </c:pt>
                <c:pt idx="8">
                  <c:v>0.6147</c:v>
                </c:pt>
                <c:pt idx="9">
                  <c:v>0.7143</c:v>
                </c:pt>
                <c:pt idx="10">
                  <c:v>0.8372</c:v>
                </c:pt>
                <c:pt idx="11">
                  <c:v>1.0000</c:v>
                </c:pt>
              </c:strCache>
            </c:strRef>
          </c:xVal>
          <c:yVal>
            <c:numRef>
              <c:f>'Clase ELV'!$H$17:$H$28</c:f>
              <c:numCache>
                <c:formatCode>0.00000</c:formatCode>
                <c:ptCount val="12"/>
                <c:pt idx="0" formatCode="General">
                  <c:v>0</c:v>
                </c:pt>
                <c:pt idx="1">
                  <c:v>0.30246245469511812</c:v>
                </c:pt>
                <c:pt idx="2">
                  <c:v>0.3090983246201735</c:v>
                </c:pt>
                <c:pt idx="3">
                  <c:v>0.31242194007214791</c:v>
                </c:pt>
                <c:pt idx="4">
                  <c:v>0.31309261479841599</c:v>
                </c:pt>
                <c:pt idx="5">
                  <c:v>0.31149954369754407</c:v>
                </c:pt>
                <c:pt idx="6">
                  <c:v>0.30779957538228075</c:v>
                </c:pt>
                <c:pt idx="7">
                  <c:v>0.30193499768406756</c:v>
                </c:pt>
                <c:pt idx="8">
                  <c:v>0.29363325944800456</c:v>
                </c:pt>
                <c:pt idx="9">
                  <c:v>0.2823887877619678</c:v>
                </c:pt>
                <c:pt idx="10">
                  <c:v>0.26742532563165544</c:v>
                </c:pt>
                <c:pt idx="11">
                  <c:v>0.24763531331034919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716-43D1-8C20-F999873C0D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5984431"/>
        <c:axId val="800966927"/>
      </c:scatterChart>
      <c:valAx>
        <c:axId val="8059844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00966927"/>
        <c:crosses val="autoZero"/>
        <c:crossBetween val="midCat"/>
      </c:valAx>
      <c:valAx>
        <c:axId val="800966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059844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572845</xdr:colOff>
      <xdr:row>32</xdr:row>
      <xdr:rowOff>52443</xdr:rowOff>
    </xdr:from>
    <xdr:to>
      <xdr:col>13</xdr:col>
      <xdr:colOff>480061</xdr:colOff>
      <xdr:row>47</xdr:row>
      <xdr:rowOff>60511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0A00D74-CB5A-4698-A0D8-D2AA14E2D6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84666</xdr:colOff>
      <xdr:row>32</xdr:row>
      <xdr:rowOff>113454</xdr:rowOff>
    </xdr:from>
    <xdr:to>
      <xdr:col>19</xdr:col>
      <xdr:colOff>593862</xdr:colOff>
      <xdr:row>48</xdr:row>
      <xdr:rowOff>3188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E705BA3-03D1-479B-A59C-10F4900B10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572845</xdr:colOff>
      <xdr:row>18</xdr:row>
      <xdr:rowOff>52443</xdr:rowOff>
    </xdr:from>
    <xdr:to>
      <xdr:col>13</xdr:col>
      <xdr:colOff>480061</xdr:colOff>
      <xdr:row>33</xdr:row>
      <xdr:rowOff>60511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3DE1A2F-DBED-46F1-976F-7205A995F6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84666</xdr:colOff>
      <xdr:row>18</xdr:row>
      <xdr:rowOff>113454</xdr:rowOff>
    </xdr:from>
    <xdr:to>
      <xdr:col>19</xdr:col>
      <xdr:colOff>593862</xdr:colOff>
      <xdr:row>34</xdr:row>
      <xdr:rowOff>3188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53E847F-5B37-4FFF-91AC-D7B747DDF3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12166</xdr:colOff>
      <xdr:row>30</xdr:row>
      <xdr:rowOff>47962</xdr:rowOff>
    </xdr:from>
    <xdr:to>
      <xdr:col>7</xdr:col>
      <xdr:colOff>103948</xdr:colOff>
      <xdr:row>38</xdr:row>
      <xdr:rowOff>49413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AC375C6-C07D-4C78-B5B1-144FF45D5985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726" y="4650442"/>
          <a:ext cx="3353142" cy="115969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7</xdr:col>
      <xdr:colOff>182048</xdr:colOff>
      <xdr:row>30</xdr:row>
      <xdr:rowOff>56031</xdr:rowOff>
    </xdr:from>
    <xdr:to>
      <xdr:col>13</xdr:col>
      <xdr:colOff>175260</xdr:colOff>
      <xdr:row>41</xdr:row>
      <xdr:rowOff>51661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BB96DF-AC40-4803-A866-ED48DD6C28A3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13968" y="4658511"/>
          <a:ext cx="3239332" cy="158821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19403</xdr:colOff>
      <xdr:row>23</xdr:row>
      <xdr:rowOff>70181</xdr:rowOff>
    </xdr:from>
    <xdr:to>
      <xdr:col>7</xdr:col>
      <xdr:colOff>73063</xdr:colOff>
      <xdr:row>29</xdr:row>
      <xdr:rowOff>125953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38FF326-AC12-4000-88BE-354B96501311}"/>
            </a:ext>
          </a:extLst>
        </xdr:cNvPr>
        <xdr:cNvPicPr/>
      </xdr:nvPicPr>
      <xdr:blipFill rotWithShape="1">
        <a:blip xmlns:r="http://schemas.openxmlformats.org/officeDocument/2006/relationships" r:embed="rId3"/>
        <a:srcRect t="-1" b="-19983"/>
        <a:stretch/>
      </xdr:blipFill>
      <xdr:spPr>
        <a:xfrm>
          <a:off x="689963" y="3659201"/>
          <a:ext cx="3315020" cy="92445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7</xdr:col>
      <xdr:colOff>256903</xdr:colOff>
      <xdr:row>14</xdr:row>
      <xdr:rowOff>43543</xdr:rowOff>
    </xdr:from>
    <xdr:to>
      <xdr:col>14</xdr:col>
      <xdr:colOff>450414</xdr:colOff>
      <xdr:row>30</xdr:row>
      <xdr:rowOff>20364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D5ECFA7-573E-4595-92AD-D8D5E8555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125730</xdr:colOff>
      <xdr:row>8</xdr:row>
      <xdr:rowOff>121920</xdr:rowOff>
    </xdr:from>
    <xdr:to>
      <xdr:col>20</xdr:col>
      <xdr:colOff>3810</xdr:colOff>
      <xdr:row>25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9706083-62E4-481A-87CF-301B138A30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308610</xdr:colOff>
      <xdr:row>10</xdr:row>
      <xdr:rowOff>76200</xdr:rowOff>
    </xdr:from>
    <xdr:to>
      <xdr:col>22</xdr:col>
      <xdr:colOff>186690</xdr:colOff>
      <xdr:row>26</xdr:row>
      <xdr:rowOff>99060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9C434464-F3C0-45F6-9D7C-58276444B5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1D94C-F0B3-4A5E-BA4F-2348DBCA6DFB}">
  <dimension ref="A4:Q33"/>
  <sheetViews>
    <sheetView topLeftCell="B1" zoomScale="90" zoomScaleNormal="90" workbookViewId="0">
      <selection activeCell="G7" sqref="G7"/>
    </sheetView>
  </sheetViews>
  <sheetFormatPr baseColWidth="10" defaultRowHeight="11.4" x14ac:dyDescent="0.2"/>
  <cols>
    <col min="1" max="3" width="5.125" customWidth="1"/>
    <col min="4" max="4" width="11" style="5"/>
    <col min="5" max="7" width="8.375" style="5" customWidth="1"/>
    <col min="8" max="9" width="11" style="5"/>
    <col min="10" max="10" width="12.375" style="5" customWidth="1"/>
    <col min="11" max="17" width="11" style="5"/>
  </cols>
  <sheetData>
    <row r="4" spans="1:17" s="5" customFormat="1" ht="22.8" x14ac:dyDescent="0.2">
      <c r="A4" s="4" t="s">
        <v>27</v>
      </c>
      <c r="B4" s="4"/>
      <c r="C4" s="4"/>
      <c r="D4" s="7" t="s">
        <v>12</v>
      </c>
      <c r="E4" s="7" t="s">
        <v>2</v>
      </c>
      <c r="F4" s="7" t="s">
        <v>4</v>
      </c>
      <c r="G4" s="7" t="s">
        <v>3</v>
      </c>
      <c r="H4" s="18" t="s">
        <v>28</v>
      </c>
      <c r="I4" s="7" t="s">
        <v>23</v>
      </c>
      <c r="J4" s="16" t="s">
        <v>29</v>
      </c>
      <c r="K4" s="16" t="s">
        <v>5</v>
      </c>
      <c r="L4" s="7" t="s">
        <v>9</v>
      </c>
      <c r="M4" s="7" t="s">
        <v>11</v>
      </c>
      <c r="N4" s="7" t="s">
        <v>21</v>
      </c>
      <c r="O4" s="7" t="s">
        <v>6</v>
      </c>
      <c r="P4" s="7" t="s">
        <v>10</v>
      </c>
      <c r="Q4" s="7" t="s">
        <v>24</v>
      </c>
    </row>
    <row r="5" spans="1:17" x14ac:dyDescent="0.2">
      <c r="A5" s="17">
        <v>1</v>
      </c>
      <c r="B5" s="17"/>
      <c r="C5" s="17"/>
      <c r="D5" s="4">
        <v>42.7</v>
      </c>
      <c r="E5" s="19">
        <v>0</v>
      </c>
      <c r="F5" s="19">
        <f>1-E5</f>
        <v>1</v>
      </c>
      <c r="G5" s="19">
        <v>0</v>
      </c>
      <c r="H5" s="19" t="e">
        <f>+G5*D5/(E5*$E$31)</f>
        <v>#DIV/0!</v>
      </c>
      <c r="I5" s="19">
        <f>+(1-G5)*D5/(F5*$E$32)</f>
        <v>0.23361418098260206</v>
      </c>
      <c r="J5" s="19" t="e">
        <f t="shared" ref="J5:J15" si="0">+E5*LN(H5)+F5*LN(I5)</f>
        <v>#DIV/0!</v>
      </c>
      <c r="K5" s="19" t="e">
        <f t="shared" ref="K5:K15" si="1">+J5/(E5*F5^2)</f>
        <v>#DIV/0!</v>
      </c>
      <c r="L5" s="4">
        <f t="shared" ref="L5:L25" si="2">+E5/F5</f>
        <v>0</v>
      </c>
      <c r="M5" s="4">
        <f t="shared" ref="M5:M25" si="3">+EXP(F5^2*($P$31+2*($P$32-$P$31)*E5))</f>
        <v>1.6165592972441722</v>
      </c>
      <c r="N5" s="4">
        <f t="shared" ref="N5:N25" si="4">+EXP(E5^2*($P$32+2*($P$31-$P$32)*F5))</f>
        <v>1</v>
      </c>
      <c r="O5" s="4">
        <f t="shared" ref="O5:O25" si="5">+M5*E5*$E$31+N5*F5*$E$32</f>
        <v>182.78</v>
      </c>
      <c r="P5" s="4">
        <f t="shared" ref="P5:P25" si="6">+E5*M5*$E$31/O5</f>
        <v>0</v>
      </c>
      <c r="Q5" s="4">
        <f t="shared" ref="Q5:Q15" si="7">+G5*O5/(M5*$E$31)</f>
        <v>0</v>
      </c>
    </row>
    <row r="6" spans="1:17" x14ac:dyDescent="0.2">
      <c r="A6" s="17">
        <v>2</v>
      </c>
      <c r="B6" s="17"/>
      <c r="C6" s="17"/>
      <c r="D6" s="4">
        <v>72.8</v>
      </c>
      <c r="E6" s="19">
        <v>0.05</v>
      </c>
      <c r="F6" s="19">
        <f t="shared" ref="F6:F25" si="8">1-E6</f>
        <v>0.95</v>
      </c>
      <c r="G6" s="19">
        <v>0.47599999999999998</v>
      </c>
      <c r="H6" s="19">
        <f>+G6*D6/(E6*$E$31)</f>
        <v>5.1712878674824649</v>
      </c>
      <c r="I6" s="19">
        <f>+(1-G6)*D6/(F6*$E$32)</f>
        <v>0.2196900501609643</v>
      </c>
      <c r="J6" s="19">
        <f t="shared" si="0"/>
        <v>-1.357604621396167</v>
      </c>
      <c r="K6" s="19">
        <f t="shared" si="1"/>
        <v>-30.085420972768244</v>
      </c>
      <c r="L6" s="4">
        <f t="shared" si="2"/>
        <v>5.2631578947368425E-2</v>
      </c>
      <c r="M6" s="4">
        <f t="shared" si="3"/>
        <v>1.7694340947782714</v>
      </c>
      <c r="N6" s="4">
        <f t="shared" si="4"/>
        <v>0.99778298621343386</v>
      </c>
      <c r="O6" s="4">
        <f t="shared" si="5"/>
        <v>185.11301337819603</v>
      </c>
      <c r="P6" s="4">
        <f t="shared" si="6"/>
        <v>6.4052643586352001E-2</v>
      </c>
      <c r="Q6" s="4">
        <f t="shared" si="7"/>
        <v>0.37156936337708291</v>
      </c>
    </row>
    <row r="7" spans="1:17" x14ac:dyDescent="0.2">
      <c r="A7" s="17">
        <v>3</v>
      </c>
      <c r="B7" s="17"/>
      <c r="C7" s="17"/>
      <c r="D7" s="4">
        <v>96.2</v>
      </c>
      <c r="E7" s="19">
        <v>0.1</v>
      </c>
      <c r="F7" s="19">
        <f t="shared" si="8"/>
        <v>0.9</v>
      </c>
      <c r="G7" s="19">
        <v>0.33200000000000002</v>
      </c>
      <c r="H7" s="19">
        <f>+G7*D7/(E7*$E$31)</f>
        <v>2.3831069989553799</v>
      </c>
      <c r="I7" s="19">
        <f>+(1-G7)*D7/(F7*$E$32)</f>
        <v>0.39064327485380118</v>
      </c>
      <c r="J7" s="19">
        <f t="shared" si="0"/>
        <v>-0.75912391855855033</v>
      </c>
      <c r="K7" s="19">
        <f t="shared" si="1"/>
        <v>-9.3719002291179034</v>
      </c>
      <c r="L7" s="4">
        <f t="shared" si="2"/>
        <v>0.11111111111111112</v>
      </c>
      <c r="M7" s="4">
        <f t="shared" si="3"/>
        <v>1.8875868229556017</v>
      </c>
      <c r="N7" s="4">
        <f t="shared" si="4"/>
        <v>0.99266920234388489</v>
      </c>
      <c r="O7" s="4">
        <f t="shared" si="5"/>
        <v>188.59350772522473</v>
      </c>
      <c r="P7" s="4">
        <f t="shared" si="6"/>
        <v>0.13413737782590382</v>
      </c>
      <c r="Q7" s="4">
        <f t="shared" si="7"/>
        <v>0.24750744749975737</v>
      </c>
    </row>
    <row r="8" spans="1:17" x14ac:dyDescent="0.2">
      <c r="A8" s="17">
        <v>4</v>
      </c>
      <c r="B8" s="17"/>
      <c r="C8" s="17"/>
      <c r="D8" s="4">
        <v>107.9</v>
      </c>
      <c r="E8" s="19">
        <v>0.15</v>
      </c>
      <c r="F8" s="19">
        <f t="shared" si="8"/>
        <v>0.85</v>
      </c>
      <c r="G8" s="19">
        <v>0.36199999999999999</v>
      </c>
      <c r="H8" s="19">
        <f>+G8*D8/(E8*$E$31)</f>
        <v>1.9429836342834403</v>
      </c>
      <c r="I8" s="19">
        <f>+(1-G8)*D8/(F8*$E$32)</f>
        <v>0.44309262823194717</v>
      </c>
      <c r="J8" s="19">
        <f t="shared" si="0"/>
        <v>-0.59224625994432101</v>
      </c>
      <c r="K8" s="19">
        <f t="shared" si="1"/>
        <v>-5.4647867122890066</v>
      </c>
      <c r="L8" s="4">
        <f t="shared" si="2"/>
        <v>0.17647058823529413</v>
      </c>
      <c r="M8" s="4">
        <f t="shared" si="3"/>
        <v>1.9669781380830755</v>
      </c>
      <c r="N8" s="4">
        <f t="shared" si="4"/>
        <v>0.98695106037287972</v>
      </c>
      <c r="O8" s="4">
        <f t="shared" si="5"/>
        <v>192.87783910259577</v>
      </c>
      <c r="P8" s="4">
        <f t="shared" si="6"/>
        <v>0.20501142948231996</v>
      </c>
      <c r="Q8" s="4">
        <f t="shared" si="7"/>
        <v>0.26486328170636353</v>
      </c>
    </row>
    <row r="9" spans="1:17" x14ac:dyDescent="0.2">
      <c r="A9" s="17">
        <v>5</v>
      </c>
      <c r="B9" s="17"/>
      <c r="C9" s="17"/>
      <c r="D9" s="4">
        <v>117</v>
      </c>
      <c r="E9" s="19">
        <v>0.2</v>
      </c>
      <c r="F9" s="19">
        <f t="shared" si="8"/>
        <v>0.8</v>
      </c>
      <c r="G9" s="19">
        <v>0.38400000000000001</v>
      </c>
      <c r="H9" s="19">
        <f>+G9*D9/(E9*$E$31)</f>
        <v>1.6761677361587823</v>
      </c>
      <c r="I9" s="19">
        <f>+(1-G9)*D9/(F9*$E$32)</f>
        <v>0.49288762446657181</v>
      </c>
      <c r="J9" s="19">
        <f t="shared" si="0"/>
        <v>-0.46267724288608131</v>
      </c>
      <c r="K9" s="19">
        <f t="shared" si="1"/>
        <v>-3.6146659600475095</v>
      </c>
      <c r="L9" s="4">
        <f t="shared" si="2"/>
        <v>0.25</v>
      </c>
      <c r="M9" s="4">
        <f t="shared" si="3"/>
        <v>2.0067923468260016</v>
      </c>
      <c r="N9" s="4">
        <f t="shared" si="4"/>
        <v>0.98287787852119046</v>
      </c>
      <c r="O9" s="4">
        <f t="shared" si="5"/>
        <v>197.51039697320672</v>
      </c>
      <c r="P9" s="4">
        <f t="shared" si="6"/>
        <v>0.27234040784000368</v>
      </c>
      <c r="Q9" s="4">
        <f t="shared" si="7"/>
        <v>0.28200001831942234</v>
      </c>
    </row>
    <row r="10" spans="1:17" x14ac:dyDescent="0.2">
      <c r="A10" s="17">
        <v>6</v>
      </c>
      <c r="B10" s="17"/>
      <c r="C10" s="17"/>
      <c r="D10" s="4">
        <v>124.8</v>
      </c>
      <c r="E10" s="19">
        <v>0.25</v>
      </c>
      <c r="F10" s="19">
        <f t="shared" si="8"/>
        <v>0.75</v>
      </c>
      <c r="G10" s="19">
        <v>0.40500000000000003</v>
      </c>
      <c r="H10" s="19">
        <f>+G10*D10/(E10*$E$31)</f>
        <v>1.5085509625429041</v>
      </c>
      <c r="I10" s="19">
        <f>+(1-G10)*D10/(F10*$E$32)</f>
        <v>0.54167852062588906</v>
      </c>
      <c r="J10" s="19">
        <f t="shared" si="0"/>
        <v>-0.35702455101144215</v>
      </c>
      <c r="K10" s="19">
        <f t="shared" si="1"/>
        <v>-2.5388412516369221</v>
      </c>
      <c r="L10" s="4">
        <f t="shared" si="2"/>
        <v>0.33333333333333331</v>
      </c>
      <c r="M10" s="4">
        <f t="shared" si="3"/>
        <v>2.0091201200278124</v>
      </c>
      <c r="N10" s="4">
        <f t="shared" si="4"/>
        <v>0.98266758972620871</v>
      </c>
      <c r="O10" s="4">
        <f t="shared" si="5"/>
        <v>202.0245561591492</v>
      </c>
      <c r="P10" s="4">
        <f t="shared" si="6"/>
        <v>0.33320488806569915</v>
      </c>
      <c r="Q10" s="4">
        <f t="shared" si="7"/>
        <v>0.30386709086943581</v>
      </c>
    </row>
    <row r="11" spans="1:17" x14ac:dyDescent="0.2">
      <c r="A11" s="17">
        <v>7</v>
      </c>
      <c r="B11" s="17"/>
      <c r="C11" s="17"/>
      <c r="D11" s="4">
        <v>132</v>
      </c>
      <c r="E11" s="19">
        <v>0.3</v>
      </c>
      <c r="F11" s="19">
        <f t="shared" si="8"/>
        <v>0.7</v>
      </c>
      <c r="G11" s="19">
        <v>0.44</v>
      </c>
      <c r="H11" s="19">
        <f>+G11*D11/(E11*$E$31)</f>
        <v>1.4445605133562154</v>
      </c>
      <c r="I11" s="19">
        <f>+(1-G11)*D11/(F11*$E$32)</f>
        <v>0.57774373563847248</v>
      </c>
      <c r="J11" s="19">
        <f t="shared" si="0"/>
        <v>-0.27369587111109062</v>
      </c>
      <c r="K11" s="19">
        <f t="shared" si="1"/>
        <v>-1.8618766742251067</v>
      </c>
      <c r="L11" s="4">
        <f t="shared" si="2"/>
        <v>0.4285714285714286</v>
      </c>
      <c r="M11" s="4">
        <f t="shared" si="3"/>
        <v>1.9783366185692106</v>
      </c>
      <c r="N11" s="4">
        <f t="shared" si="4"/>
        <v>0.98856923337759262</v>
      </c>
      <c r="O11" s="4">
        <f t="shared" si="5"/>
        <v>206.02448121992313</v>
      </c>
      <c r="P11" s="4">
        <f t="shared" si="6"/>
        <v>0.3860754878022809</v>
      </c>
      <c r="Q11" s="4">
        <f t="shared" si="7"/>
        <v>0.34190204809791119</v>
      </c>
    </row>
    <row r="12" spans="1:17" x14ac:dyDescent="0.2">
      <c r="A12" s="17">
        <v>8</v>
      </c>
      <c r="B12" s="17"/>
      <c r="C12" s="17"/>
      <c r="D12" s="4">
        <v>138.9</v>
      </c>
      <c r="E12" s="19">
        <v>0.35</v>
      </c>
      <c r="F12" s="19">
        <f t="shared" si="8"/>
        <v>0.65</v>
      </c>
      <c r="G12" s="19">
        <v>0.50700000000000001</v>
      </c>
      <c r="H12" s="19">
        <f>+G12*D12/(E12*$E$31)</f>
        <v>1.5013175005862665</v>
      </c>
      <c r="I12" s="19">
        <f>+(1-G12)*D12/(F12*$E$32)</f>
        <v>0.57637765451530631</v>
      </c>
      <c r="J12" s="19">
        <f t="shared" si="0"/>
        <v>-0.21592484919193866</v>
      </c>
      <c r="K12" s="19">
        <f t="shared" si="1"/>
        <v>-1.4601849480435412</v>
      </c>
      <c r="L12" s="4">
        <f t="shared" si="2"/>
        <v>0.53846153846153844</v>
      </c>
      <c r="M12" s="4">
        <f t="shared" si="3"/>
        <v>1.9203286149224008</v>
      </c>
      <c r="N12" s="4">
        <f t="shared" si="4"/>
        <v>1.0029774989706568</v>
      </c>
      <c r="O12" s="4">
        <f t="shared" si="5"/>
        <v>209.2376020603719</v>
      </c>
      <c r="P12" s="4">
        <f t="shared" si="6"/>
        <v>0.4305003185525656</v>
      </c>
      <c r="Q12" s="4">
        <f t="shared" si="7"/>
        <v>0.41219481694374799</v>
      </c>
    </row>
    <row r="13" spans="1:17" x14ac:dyDescent="0.2">
      <c r="A13" s="17">
        <v>9</v>
      </c>
      <c r="B13" s="17"/>
      <c r="C13" s="17"/>
      <c r="D13" s="4">
        <v>145.6</v>
      </c>
      <c r="E13" s="19">
        <v>0.4</v>
      </c>
      <c r="F13" s="19">
        <f t="shared" si="8"/>
        <v>0.6</v>
      </c>
      <c r="G13" s="19">
        <v>0.60499999999999998</v>
      </c>
      <c r="H13" s="19">
        <f>+G13*D13/(E13*$E$31)</f>
        <v>1.6431875839426948</v>
      </c>
      <c r="I13" s="19">
        <f>+(1-G13)*D13/(F13*$E$32)</f>
        <v>0.5244191559981034</v>
      </c>
      <c r="J13" s="19">
        <f t="shared" si="0"/>
        <v>-0.1886231973817285</v>
      </c>
      <c r="K13" s="19">
        <f t="shared" si="1"/>
        <v>-1.3098833151508924</v>
      </c>
      <c r="L13" s="4">
        <f t="shared" si="2"/>
        <v>0.66666666666666674</v>
      </c>
      <c r="M13" s="4">
        <f t="shared" si="3"/>
        <v>1.8417142582766508</v>
      </c>
      <c r="N13" s="4">
        <f t="shared" si="4"/>
        <v>1.0286063214260877</v>
      </c>
      <c r="O13" s="4">
        <f t="shared" si="5"/>
        <v>211.53581601585091</v>
      </c>
      <c r="P13" s="4">
        <f t="shared" si="6"/>
        <v>0.46673239462340782</v>
      </c>
      <c r="Q13" s="4">
        <f t="shared" si="7"/>
        <v>0.51849840034194006</v>
      </c>
    </row>
    <row r="14" spans="1:17" x14ac:dyDescent="0.2">
      <c r="A14" s="17">
        <v>10</v>
      </c>
      <c r="B14" s="17"/>
      <c r="C14" s="17"/>
      <c r="D14" s="4">
        <v>152.30000000000001</v>
      </c>
      <c r="E14" s="19">
        <v>0.45</v>
      </c>
      <c r="F14" s="19">
        <f t="shared" si="8"/>
        <v>0.55000000000000004</v>
      </c>
      <c r="G14" s="19">
        <v>0.747</v>
      </c>
      <c r="H14" s="19">
        <f>+G14*D14/(E14*$E$31)</f>
        <v>1.8864199373227877</v>
      </c>
      <c r="I14" s="19">
        <f>+(1-G14)*D14/(F14*$E$32)</f>
        <v>0.38329138855454642</v>
      </c>
      <c r="J14" s="19">
        <f t="shared" si="0"/>
        <v>-0.24182150651702028</v>
      </c>
      <c r="K14" s="19">
        <f t="shared" si="1"/>
        <v>-1.776466530887201</v>
      </c>
      <c r="L14" s="4">
        <f t="shared" si="2"/>
        <v>0.81818181818181812</v>
      </c>
      <c r="M14" s="4">
        <f t="shared" si="3"/>
        <v>1.7491640270982483</v>
      </c>
      <c r="N14" s="4">
        <f t="shared" si="4"/>
        <v>1.0687382264275354</v>
      </c>
      <c r="O14" s="4">
        <f t="shared" si="5"/>
        <v>212.92951847480197</v>
      </c>
      <c r="P14" s="4">
        <f t="shared" si="6"/>
        <v>0.49542371610046149</v>
      </c>
      <c r="Q14" s="4">
        <f t="shared" si="7"/>
        <v>0.6785101097821401</v>
      </c>
    </row>
    <row r="15" spans="1:17" x14ac:dyDescent="0.2">
      <c r="A15" s="17">
        <v>11</v>
      </c>
      <c r="B15" s="17"/>
      <c r="C15" s="17"/>
      <c r="D15" s="4">
        <v>158.9</v>
      </c>
      <c r="E15" s="19">
        <v>0.5</v>
      </c>
      <c r="F15" s="19">
        <f t="shared" si="8"/>
        <v>0.5</v>
      </c>
      <c r="G15" s="19">
        <v>0.91200000000000003</v>
      </c>
      <c r="H15" s="19">
        <f>+G15*D15/(E15*$E$31)</f>
        <v>2.1626145351440087</v>
      </c>
      <c r="I15" s="19">
        <f>+(1-G15)*D15/(F15*$E$32)</f>
        <v>0.15300579932158873</v>
      </c>
      <c r="J15" s="19">
        <f t="shared" si="0"/>
        <v>-0.55298076579779276</v>
      </c>
      <c r="K15" s="19">
        <f t="shared" si="1"/>
        <v>-4.4238461263823421</v>
      </c>
      <c r="L15" s="4">
        <f t="shared" si="2"/>
        <v>1</v>
      </c>
      <c r="M15" s="4">
        <f t="shared" si="3"/>
        <v>1.6488861510710793</v>
      </c>
      <c r="N15" s="4">
        <f t="shared" si="4"/>
        <v>1.1275814170144083</v>
      </c>
      <c r="O15" s="4">
        <f t="shared" si="5"/>
        <v>213.5415266842198</v>
      </c>
      <c r="P15" s="4">
        <f t="shared" si="6"/>
        <v>0.51742563940111652</v>
      </c>
      <c r="Q15" s="4">
        <f t="shared" si="7"/>
        <v>0.88128605402659921</v>
      </c>
    </row>
    <row r="16" spans="1:17" x14ac:dyDescent="0.2">
      <c r="A16" s="22"/>
      <c r="B16" s="22"/>
      <c r="C16" s="22"/>
      <c r="D16" s="23">
        <v>165.6</v>
      </c>
      <c r="E16" s="24">
        <v>0.55000000000000004</v>
      </c>
      <c r="F16" s="24">
        <f t="shared" si="8"/>
        <v>0.44999999999999996</v>
      </c>
      <c r="G16" s="24"/>
      <c r="H16" s="24"/>
      <c r="I16" s="24"/>
      <c r="J16" s="24"/>
      <c r="K16" s="24"/>
      <c r="L16" s="23">
        <f t="shared" si="2"/>
        <v>1.2222222222222225</v>
      </c>
      <c r="M16" s="23">
        <f t="shared" si="3"/>
        <v>1.5462969762144696</v>
      </c>
      <c r="N16" s="23">
        <f t="shared" si="4"/>
        <v>1.210790890985566</v>
      </c>
      <c r="O16" s="23">
        <f t="shared" si="5"/>
        <v>213.56785798819857</v>
      </c>
      <c r="P16" s="23">
        <f t="shared" si="6"/>
        <v>0.53369031036516323</v>
      </c>
      <c r="Q16" s="23"/>
    </row>
    <row r="17" spans="1:17" x14ac:dyDescent="0.2">
      <c r="A17" s="22"/>
      <c r="B17" s="22"/>
      <c r="C17" s="22"/>
      <c r="D17" s="23">
        <v>172.3</v>
      </c>
      <c r="E17" s="24">
        <v>0.6</v>
      </c>
      <c r="F17" s="24">
        <f t="shared" si="8"/>
        <v>0.4</v>
      </c>
      <c r="G17" s="24"/>
      <c r="H17" s="24"/>
      <c r="I17" s="24"/>
      <c r="J17" s="24"/>
      <c r="K17" s="24"/>
      <c r="L17" s="23">
        <f t="shared" si="2"/>
        <v>1.4999999999999998</v>
      </c>
      <c r="M17" s="23">
        <f t="shared" si="3"/>
        <v>1.4458641926547822</v>
      </c>
      <c r="N17" s="23">
        <f t="shared" si="4"/>
        <v>1.3262497202328229</v>
      </c>
      <c r="O17" s="23">
        <f t="shared" si="5"/>
        <v>213.22960100541849</v>
      </c>
      <c r="P17" s="23">
        <f t="shared" si="6"/>
        <v>0.54525652588357976</v>
      </c>
      <c r="Q17" s="23"/>
    </row>
    <row r="18" spans="1:17" x14ac:dyDescent="0.2">
      <c r="A18" s="22"/>
      <c r="B18" s="22"/>
      <c r="C18" s="22"/>
      <c r="D18" s="23">
        <v>179.2</v>
      </c>
      <c r="E18" s="24">
        <v>0.65</v>
      </c>
      <c r="F18" s="24">
        <f t="shared" si="8"/>
        <v>0.35</v>
      </c>
      <c r="G18" s="24"/>
      <c r="H18" s="24"/>
      <c r="I18" s="24"/>
      <c r="J18" s="24"/>
      <c r="K18" s="24"/>
      <c r="L18" s="23">
        <f t="shared" si="2"/>
        <v>1.8571428571428574</v>
      </c>
      <c r="M18" s="23">
        <f t="shared" si="3"/>
        <v>1.3510913523340444</v>
      </c>
      <c r="N18" s="23">
        <f t="shared" si="4"/>
        <v>1.4852742346451364</v>
      </c>
      <c r="O18" s="23">
        <f t="shared" si="5"/>
        <v>212.71506958882892</v>
      </c>
      <c r="P18" s="23">
        <f t="shared" si="6"/>
        <v>0.55331115563829669</v>
      </c>
      <c r="Q18" s="23"/>
    </row>
    <row r="19" spans="1:17" x14ac:dyDescent="0.2">
      <c r="A19" s="22"/>
      <c r="B19" s="22"/>
      <c r="C19" s="22"/>
      <c r="D19" s="23">
        <v>186.1</v>
      </c>
      <c r="E19" s="24">
        <v>0.7</v>
      </c>
      <c r="F19" s="24">
        <f t="shared" si="8"/>
        <v>0.30000000000000004</v>
      </c>
      <c r="G19" s="24"/>
      <c r="H19" s="24"/>
      <c r="I19" s="24"/>
      <c r="J19" s="24"/>
      <c r="K19" s="24"/>
      <c r="L19" s="23">
        <f t="shared" si="2"/>
        <v>2.333333333333333</v>
      </c>
      <c r="M19" s="23">
        <f t="shared" si="3"/>
        <v>1.2646047212128646</v>
      </c>
      <c r="N19" s="23">
        <f t="shared" si="4"/>
        <v>1.7045252053167834</v>
      </c>
      <c r="O19" s="23">
        <f t="shared" si="5"/>
        <v>212.1035624242042</v>
      </c>
      <c r="P19" s="23">
        <f t="shared" si="6"/>
        <v>0.55933821176746701</v>
      </c>
      <c r="Q19" s="23"/>
    </row>
    <row r="20" spans="1:17" x14ac:dyDescent="0.2">
      <c r="A20" s="22"/>
      <c r="B20" s="22"/>
      <c r="C20" s="22"/>
      <c r="D20" s="23">
        <v>193.1</v>
      </c>
      <c r="E20" s="24">
        <v>0.75</v>
      </c>
      <c r="F20" s="24">
        <f t="shared" si="8"/>
        <v>0.25</v>
      </c>
      <c r="G20" s="24"/>
      <c r="H20" s="24"/>
      <c r="I20" s="24"/>
      <c r="J20" s="24"/>
      <c r="K20" s="24"/>
      <c r="L20" s="23">
        <f t="shared" si="2"/>
        <v>3</v>
      </c>
      <c r="M20" s="23">
        <f t="shared" si="3"/>
        <v>1.1883052412299184</v>
      </c>
      <c r="N20" s="23">
        <f t="shared" si="4"/>
        <v>2.0091201200278124</v>
      </c>
      <c r="O20" s="23">
        <f t="shared" si="5"/>
        <v>211.24924520689615</v>
      </c>
      <c r="P20" s="23">
        <f t="shared" si="6"/>
        <v>0.56541031048534185</v>
      </c>
      <c r="Q20" s="23"/>
    </row>
    <row r="21" spans="1:17" x14ac:dyDescent="0.2">
      <c r="A21" s="22"/>
      <c r="B21" s="22"/>
      <c r="C21" s="22"/>
      <c r="D21" s="23">
        <v>200.1</v>
      </c>
      <c r="E21" s="24">
        <v>0.8</v>
      </c>
      <c r="F21" s="24">
        <f t="shared" si="8"/>
        <v>0.19999999999999996</v>
      </c>
      <c r="G21" s="24"/>
      <c r="H21" s="24"/>
      <c r="I21" s="24"/>
      <c r="J21" s="24"/>
      <c r="K21" s="24"/>
      <c r="L21" s="23">
        <f t="shared" si="2"/>
        <v>4.0000000000000009</v>
      </c>
      <c r="M21" s="23">
        <f t="shared" si="3"/>
        <v>1.1235557127766254</v>
      </c>
      <c r="N21" s="23">
        <f t="shared" si="4"/>
        <v>2.4378351210534959</v>
      </c>
      <c r="O21" s="23">
        <f t="shared" si="5"/>
        <v>209.58064998629027</v>
      </c>
      <c r="P21" s="23">
        <f t="shared" si="6"/>
        <v>0.57478182889946561</v>
      </c>
      <c r="Q21" s="23"/>
    </row>
    <row r="22" spans="1:17" x14ac:dyDescent="0.2">
      <c r="A22" s="22"/>
      <c r="B22" s="22"/>
      <c r="C22" s="22"/>
      <c r="D22" s="23">
        <v>207.3</v>
      </c>
      <c r="E22" s="24">
        <v>0.85</v>
      </c>
      <c r="F22" s="24">
        <f t="shared" si="8"/>
        <v>0.15000000000000002</v>
      </c>
      <c r="G22" s="24"/>
      <c r="H22" s="24"/>
      <c r="I22" s="24"/>
      <c r="J22" s="24"/>
      <c r="K22" s="24"/>
      <c r="L22" s="23">
        <f t="shared" si="2"/>
        <v>5.6666666666666661</v>
      </c>
      <c r="M22" s="23">
        <f t="shared" si="3"/>
        <v>1.0713832547223561</v>
      </c>
      <c r="N22" s="23">
        <f t="shared" si="4"/>
        <v>3.0520311658945389</v>
      </c>
      <c r="O22" s="23">
        <f t="shared" si="5"/>
        <v>205.72630470353724</v>
      </c>
      <c r="P22" s="23">
        <f t="shared" si="6"/>
        <v>0.59325795213249732</v>
      </c>
      <c r="Q22" s="23"/>
    </row>
    <row r="23" spans="1:17" x14ac:dyDescent="0.2">
      <c r="A23" s="22"/>
      <c r="B23" s="22"/>
      <c r="C23" s="22"/>
      <c r="D23" s="23">
        <v>214.6</v>
      </c>
      <c r="E23" s="24">
        <v>0.9</v>
      </c>
      <c r="F23" s="24">
        <f t="shared" si="8"/>
        <v>9.9999999999999978E-2</v>
      </c>
      <c r="G23" s="24"/>
      <c r="H23" s="24"/>
      <c r="I23" s="24"/>
      <c r="J23" s="24"/>
      <c r="K23" s="24"/>
      <c r="L23" s="23">
        <f t="shared" si="2"/>
        <v>9.0000000000000018</v>
      </c>
      <c r="M23" s="23">
        <f t="shared" si="3"/>
        <v>1.032687678211855</v>
      </c>
      <c r="N23" s="23">
        <f t="shared" si="4"/>
        <v>3.9513915183401953</v>
      </c>
      <c r="O23" s="23">
        <f t="shared" si="5"/>
        <v>196.78425654277962</v>
      </c>
      <c r="P23" s="23">
        <f t="shared" si="6"/>
        <v>0.63298113659554289</v>
      </c>
      <c r="Q23" s="23"/>
    </row>
    <row r="24" spans="1:17" x14ac:dyDescent="0.2">
      <c r="A24" s="22"/>
      <c r="B24" s="22"/>
      <c r="C24" s="22"/>
      <c r="D24" s="23">
        <v>222</v>
      </c>
      <c r="E24" s="24">
        <v>0.95</v>
      </c>
      <c r="F24" s="24">
        <f t="shared" si="8"/>
        <v>5.0000000000000044E-2</v>
      </c>
      <c r="G24" s="24"/>
      <c r="H24" s="24"/>
      <c r="I24" s="24"/>
      <c r="J24" s="24"/>
      <c r="K24" s="24"/>
      <c r="L24" s="23">
        <f t="shared" si="2"/>
        <v>18.999999999999982</v>
      </c>
      <c r="M24" s="23">
        <f t="shared" si="3"/>
        <v>1.0084567832598665</v>
      </c>
      <c r="N24" s="23">
        <f t="shared" si="4"/>
        <v>5.3024658920080432</v>
      </c>
      <c r="O24" s="23">
        <f t="shared" si="5"/>
        <v>176.85494497492451</v>
      </c>
      <c r="P24" s="23">
        <f t="shared" si="6"/>
        <v>0.72599445385068329</v>
      </c>
      <c r="Q24" s="23"/>
    </row>
    <row r="25" spans="1:17" x14ac:dyDescent="0.2">
      <c r="A25" s="22"/>
      <c r="B25" s="22"/>
      <c r="C25" s="22"/>
      <c r="D25" s="23">
        <v>229.5</v>
      </c>
      <c r="E25" s="24">
        <v>1</v>
      </c>
      <c r="F25" s="24">
        <f t="shared" si="8"/>
        <v>0</v>
      </c>
      <c r="G25" s="24"/>
      <c r="H25" s="24"/>
      <c r="I25" s="24"/>
      <c r="J25" s="24"/>
      <c r="K25" s="24"/>
      <c r="L25" s="23" t="e">
        <f t="shared" si="2"/>
        <v>#DIV/0!</v>
      </c>
      <c r="M25" s="23">
        <f t="shared" si="3"/>
        <v>1</v>
      </c>
      <c r="N25" s="23">
        <f t="shared" si="4"/>
        <v>7.3920123125735344</v>
      </c>
      <c r="O25" s="23">
        <f t="shared" si="5"/>
        <v>134.02000000000001</v>
      </c>
      <c r="P25" s="23">
        <f t="shared" si="6"/>
        <v>1</v>
      </c>
      <c r="Q25" s="23"/>
    </row>
    <row r="26" spans="1:17" x14ac:dyDescent="0.2">
      <c r="A26" s="22"/>
      <c r="B26" s="22"/>
      <c r="C26" s="22"/>
      <c r="D26" s="23"/>
      <c r="E26" s="24"/>
      <c r="F26" s="24"/>
      <c r="G26" s="24"/>
      <c r="H26" s="24"/>
      <c r="I26" s="24"/>
      <c r="J26" s="24"/>
      <c r="K26" s="24"/>
      <c r="L26" s="23"/>
      <c r="M26" s="23"/>
      <c r="N26" s="23"/>
      <c r="O26" s="23"/>
      <c r="P26" s="23"/>
      <c r="Q26" s="23"/>
    </row>
    <row r="27" spans="1:17" x14ac:dyDescent="0.2">
      <c r="A27" s="22"/>
      <c r="B27" s="22"/>
      <c r="C27" s="22"/>
      <c r="D27" s="23"/>
      <c r="E27" s="24"/>
      <c r="F27" s="24"/>
      <c r="G27" s="24"/>
      <c r="H27" s="24"/>
      <c r="I27" s="24"/>
      <c r="J27" s="24"/>
      <c r="K27" s="24"/>
      <c r="L27" s="23"/>
      <c r="M27" s="23"/>
      <c r="N27" s="23"/>
      <c r="O27" s="23"/>
      <c r="P27" s="23"/>
      <c r="Q27" s="23"/>
    </row>
    <row r="28" spans="1:17" x14ac:dyDescent="0.2">
      <c r="A28" s="22"/>
      <c r="B28" s="22"/>
      <c r="C28" s="22"/>
      <c r="D28" s="23"/>
      <c r="E28" s="24"/>
      <c r="F28" s="24"/>
      <c r="G28" s="24"/>
      <c r="H28" s="24"/>
      <c r="I28" s="24"/>
      <c r="J28" s="24"/>
      <c r="K28" s="24"/>
      <c r="L28" s="23"/>
      <c r="M28" s="23"/>
      <c r="N28" s="23"/>
      <c r="O28" s="23"/>
      <c r="P28" s="23"/>
      <c r="Q28" s="23"/>
    </row>
    <row r="29" spans="1:17" x14ac:dyDescent="0.2">
      <c r="A29" s="22"/>
      <c r="B29" s="22"/>
      <c r="C29" s="22"/>
      <c r="D29" s="23"/>
      <c r="E29" s="24"/>
      <c r="F29" s="24"/>
      <c r="G29" s="24"/>
      <c r="H29" s="24"/>
      <c r="I29" s="24"/>
      <c r="J29" s="24"/>
      <c r="K29" s="24"/>
      <c r="L29" s="23"/>
      <c r="M29" s="23"/>
      <c r="N29" s="23"/>
      <c r="O29" s="23"/>
      <c r="P29" s="23"/>
      <c r="Q29" s="23"/>
    </row>
    <row r="31" spans="1:17" x14ac:dyDescent="0.2">
      <c r="D31" s="4" t="s">
        <v>0</v>
      </c>
      <c r="E31" s="4">
        <v>134.02000000000001</v>
      </c>
      <c r="H31" s="20"/>
      <c r="O31" s="5" t="s">
        <v>7</v>
      </c>
      <c r="P31" s="21">
        <v>0.4803</v>
      </c>
    </row>
    <row r="32" spans="1:17" x14ac:dyDescent="0.2">
      <c r="D32" s="4" t="s">
        <v>1</v>
      </c>
      <c r="E32" s="4">
        <v>182.78</v>
      </c>
      <c r="H32" s="20"/>
      <c r="O32" s="5" t="s">
        <v>8</v>
      </c>
      <c r="P32" s="21">
        <v>2.0004</v>
      </c>
    </row>
    <row r="33" spans="4:5" x14ac:dyDescent="0.2">
      <c r="D33" s="4"/>
      <c r="E33" s="4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Q19"/>
  <sheetViews>
    <sheetView topLeftCell="B1" zoomScale="90" zoomScaleNormal="90" workbookViewId="0">
      <selection activeCell="Y19" sqref="Y19"/>
    </sheetView>
  </sheetViews>
  <sheetFormatPr baseColWidth="10" defaultRowHeight="11.4" x14ac:dyDescent="0.2"/>
  <cols>
    <col min="1" max="3" width="5.125" customWidth="1"/>
    <col min="4" max="4" width="11" style="5"/>
    <col min="5" max="7" width="8.375" style="5" customWidth="1"/>
    <col min="8" max="9" width="11" style="5"/>
    <col min="10" max="10" width="12.375" style="5" customWidth="1"/>
    <col min="11" max="17" width="11" style="5"/>
  </cols>
  <sheetData>
    <row r="4" spans="1:17" s="5" customFormat="1" ht="22.8" x14ac:dyDescent="0.2">
      <c r="A4" s="4" t="s">
        <v>27</v>
      </c>
      <c r="B4" s="4"/>
      <c r="C4" s="4"/>
      <c r="D4" s="7" t="s">
        <v>12</v>
      </c>
      <c r="E4" s="7" t="s">
        <v>2</v>
      </c>
      <c r="F4" s="7" t="s">
        <v>4</v>
      </c>
      <c r="G4" s="7" t="s">
        <v>3</v>
      </c>
      <c r="H4" s="18" t="s">
        <v>28</v>
      </c>
      <c r="I4" s="7" t="s">
        <v>23</v>
      </c>
      <c r="J4" s="16" t="s">
        <v>29</v>
      </c>
      <c r="K4" s="16" t="s">
        <v>5</v>
      </c>
      <c r="L4" s="7" t="s">
        <v>9</v>
      </c>
      <c r="M4" s="7" t="s">
        <v>11</v>
      </c>
      <c r="N4" s="7" t="s">
        <v>21</v>
      </c>
      <c r="O4" s="7" t="s">
        <v>6</v>
      </c>
      <c r="P4" s="7" t="s">
        <v>10</v>
      </c>
      <c r="Q4" s="7" t="s">
        <v>24</v>
      </c>
    </row>
    <row r="5" spans="1:17" x14ac:dyDescent="0.2">
      <c r="A5" s="17">
        <v>1</v>
      </c>
      <c r="B5" s="17"/>
      <c r="C5" s="17"/>
      <c r="D5" s="4">
        <v>208.4</v>
      </c>
      <c r="E5" s="19">
        <v>0.02</v>
      </c>
      <c r="F5" s="19">
        <f>1-E5</f>
        <v>0.98</v>
      </c>
      <c r="G5" s="19">
        <v>0.14499999999999999</v>
      </c>
      <c r="H5" s="19">
        <f>+G5*D5/(E5*$E$17)</f>
        <v>11.273690493956126</v>
      </c>
      <c r="I5" s="19">
        <f>+(1-G5)*D5/(F5*$E$18)</f>
        <v>0.99473885188170896</v>
      </c>
      <c r="J5" s="19">
        <f t="shared" ref="J5:J15" si="0">+E5*LN(H5)+F5*LN(I5)</f>
        <v>4.3279898765168259E-2</v>
      </c>
      <c r="K5" s="19">
        <f t="shared" ref="K5:K15" si="1">+J5/(E5*F5^2)</f>
        <v>2.2532225512894763</v>
      </c>
      <c r="L5" s="4">
        <f t="shared" ref="L5:L15" si="2">+E5/F5</f>
        <v>2.0408163265306124E-2</v>
      </c>
      <c r="M5" s="4">
        <f t="shared" ref="M5:M15" si="3">+EXP(F5^2*($P$17+2*($P$18-$P$17)*E5))</f>
        <v>1.6814832345227293</v>
      </c>
      <c r="N5" s="4">
        <f t="shared" ref="N5:N15" si="4">+EXP(E5^2*($P$18+2*($P$17-$P$18)*F5))</f>
        <v>0.99960847826464583</v>
      </c>
      <c r="O5" s="4">
        <f t="shared" ref="O5:O15" si="5">+M5*E5*$E$17+N5*F5*$E$18</f>
        <v>183.56131656588246</v>
      </c>
      <c r="P5" s="4">
        <f t="shared" ref="P5:P15" si="6">+E5*M5*$E$17/O5</f>
        <v>2.4553363127557914E-2</v>
      </c>
      <c r="Q5" s="4">
        <f t="shared" ref="Q5:Q15" si="7">+G5*O5/(M5*$E$17)</f>
        <v>0.11811009289986561</v>
      </c>
    </row>
    <row r="6" spans="1:17" x14ac:dyDescent="0.2">
      <c r="A6" s="17">
        <v>2</v>
      </c>
      <c r="B6" s="17"/>
      <c r="C6" s="17"/>
      <c r="D6" s="4">
        <v>239.8</v>
      </c>
      <c r="E6" s="19">
        <v>9.5000000000000001E-2</v>
      </c>
      <c r="F6" s="19">
        <f t="shared" ref="F6:F15" si="8">1-E6</f>
        <v>0.90500000000000003</v>
      </c>
      <c r="G6" s="19">
        <v>0.28000000000000003</v>
      </c>
      <c r="H6" s="19">
        <f>+G6*D6/(E6*$E$17)</f>
        <v>5.2736826396688627</v>
      </c>
      <c r="I6" s="19">
        <f>+(1-G6)*D6/(F6*$E$18)</f>
        <v>1.0437690693579034</v>
      </c>
      <c r="J6" s="19">
        <f t="shared" si="0"/>
        <v>0.19672787829250182</v>
      </c>
      <c r="K6" s="19">
        <f t="shared" si="1"/>
        <v>2.5283962901010582</v>
      </c>
      <c r="L6" s="4">
        <f t="shared" si="2"/>
        <v>0.10497237569060773</v>
      </c>
      <c r="M6" s="4">
        <f t="shared" si="3"/>
        <v>1.8774748122275915</v>
      </c>
      <c r="N6" s="4">
        <f t="shared" si="4"/>
        <v>0.9932453126283427</v>
      </c>
      <c r="O6" s="4">
        <f t="shared" si="5"/>
        <v>188.20238887099916</v>
      </c>
      <c r="P6" s="4">
        <f t="shared" si="6"/>
        <v>0.1270112547730998</v>
      </c>
      <c r="Q6" s="4">
        <f t="shared" si="7"/>
        <v>0.20943025913348995</v>
      </c>
    </row>
    <row r="7" spans="1:17" x14ac:dyDescent="0.2">
      <c r="A7" s="17">
        <v>3</v>
      </c>
      <c r="B7" s="17"/>
      <c r="C7" s="17"/>
      <c r="D7" s="4">
        <v>249.1</v>
      </c>
      <c r="E7" s="19">
        <v>0.20399999999999999</v>
      </c>
      <c r="F7" s="19">
        <f t="shared" si="8"/>
        <v>0.79600000000000004</v>
      </c>
      <c r="G7" s="19">
        <v>0.33200000000000002</v>
      </c>
      <c r="H7" s="19">
        <f>+G7*D7/(E7*$E$17)</f>
        <v>3.0249070229494572</v>
      </c>
      <c r="I7" s="19">
        <f>+(1-G7)*D7/(F7*$E$18)</f>
        <v>1.1436903304134192</v>
      </c>
      <c r="J7" s="19">
        <f t="shared" si="0"/>
        <v>0.33267468460686583</v>
      </c>
      <c r="K7" s="19">
        <f t="shared" si="1"/>
        <v>2.5737327622357915</v>
      </c>
      <c r="L7" s="4">
        <f t="shared" si="2"/>
        <v>0.25628140703517582</v>
      </c>
      <c r="M7" s="4">
        <f t="shared" si="3"/>
        <v>2.0083126961759494</v>
      </c>
      <c r="N7" s="4">
        <f t="shared" si="4"/>
        <v>0.98268953755004784</v>
      </c>
      <c r="O7" s="4">
        <f t="shared" si="5"/>
        <v>197.88176074249077</v>
      </c>
      <c r="P7" s="4">
        <f t="shared" si="6"/>
        <v>0.27747595115609858</v>
      </c>
      <c r="Q7" s="4">
        <f t="shared" si="7"/>
        <v>0.24408601796953033</v>
      </c>
    </row>
    <row r="8" spans="1:17" x14ac:dyDescent="0.2">
      <c r="A8" s="17">
        <v>4</v>
      </c>
      <c r="B8" s="17"/>
      <c r="C8" s="17"/>
      <c r="D8" s="4">
        <v>252.3</v>
      </c>
      <c r="E8" s="19">
        <v>0.378</v>
      </c>
      <c r="F8" s="19">
        <f t="shared" si="8"/>
        <v>0.622</v>
      </c>
      <c r="G8" s="19">
        <v>0.36199999999999999</v>
      </c>
      <c r="H8" s="19">
        <f>+G8*D8/(E8*$E$17)</f>
        <v>1.8028699815000364</v>
      </c>
      <c r="I8" s="19">
        <f>+(1-G8)*D8/(F8*$E$18)</f>
        <v>1.4158553022997091</v>
      </c>
      <c r="J8" s="19">
        <f t="shared" si="0"/>
        <v>0.43907600057661711</v>
      </c>
      <c r="K8" s="19">
        <f t="shared" si="1"/>
        <v>3.0023901766476815</v>
      </c>
      <c r="L8" s="4">
        <f t="shared" si="2"/>
        <v>0.60771704180064312</v>
      </c>
      <c r="M8" s="4">
        <f t="shared" si="3"/>
        <v>1.8784101904580162</v>
      </c>
      <c r="N8" s="4">
        <f t="shared" si="4"/>
        <v>1.0157536821255138</v>
      </c>
      <c r="O8" s="4">
        <f t="shared" si="5"/>
        <v>210.63961663587597</v>
      </c>
      <c r="P8" s="4">
        <f t="shared" si="6"/>
        <v>0.45176418029955634</v>
      </c>
      <c r="Q8" s="4">
        <f t="shared" si="7"/>
        <v>0.30289253988500509</v>
      </c>
    </row>
    <row r="9" spans="1:17" x14ac:dyDescent="0.2">
      <c r="A9" s="17">
        <v>5</v>
      </c>
      <c r="B9" s="17"/>
      <c r="C9" s="17"/>
      <c r="D9" s="4">
        <v>248.8</v>
      </c>
      <c r="E9" s="19">
        <v>0.49</v>
      </c>
      <c r="F9" s="19">
        <f t="shared" si="8"/>
        <v>0.51</v>
      </c>
      <c r="G9" s="19">
        <v>0.38400000000000001</v>
      </c>
      <c r="H9" s="19">
        <f>+G9*D9/(E9*$E$17)</f>
        <v>1.4548422562578232</v>
      </c>
      <c r="I9" s="19">
        <f>+(1-G9)*D9/(F9*$E$18)</f>
        <v>1.6441151797188951</v>
      </c>
      <c r="J9" s="19">
        <f t="shared" si="0"/>
        <v>0.43727296606991634</v>
      </c>
      <c r="K9" s="19">
        <f t="shared" si="1"/>
        <v>3.4309642764550237</v>
      </c>
      <c r="L9" s="4">
        <f t="shared" si="2"/>
        <v>0.96078431372549011</v>
      </c>
      <c r="M9" s="4">
        <f t="shared" si="3"/>
        <v>1.6692868174577344</v>
      </c>
      <c r="N9" s="4">
        <f t="shared" si="4"/>
        <v>1.1140705945172307</v>
      </c>
      <c r="O9" s="4">
        <f t="shared" si="5"/>
        <v>213.47294131067423</v>
      </c>
      <c r="P9" s="4">
        <f t="shared" si="6"/>
        <v>0.51351581503507648</v>
      </c>
      <c r="Q9" s="4">
        <f t="shared" si="7"/>
        <v>0.36641519986516363</v>
      </c>
    </row>
    <row r="10" spans="1:17" x14ac:dyDescent="0.2">
      <c r="A10" s="17">
        <v>6</v>
      </c>
      <c r="B10" s="17"/>
      <c r="C10" s="17"/>
      <c r="D10" s="4">
        <v>245.7</v>
      </c>
      <c r="E10" s="19">
        <v>0.59199999999999997</v>
      </c>
      <c r="F10" s="19">
        <f t="shared" si="8"/>
        <v>0.40800000000000003</v>
      </c>
      <c r="G10" s="19">
        <v>0.40500000000000003</v>
      </c>
      <c r="H10" s="19">
        <f>+G10*D10/(E10*$E$17)</f>
        <v>1.2542059575618001</v>
      </c>
      <c r="I10" s="19">
        <f>+(1-G10)*D10/(F10*$E$18)</f>
        <v>1.9603485064011377</v>
      </c>
      <c r="J10" s="19">
        <f t="shared" si="0"/>
        <v>0.40872346503356294</v>
      </c>
      <c r="K10" s="19">
        <f t="shared" si="1"/>
        <v>4.1475109242997892</v>
      </c>
      <c r="L10" s="4">
        <f t="shared" si="2"/>
        <v>1.4509803921568625</v>
      </c>
      <c r="M10" s="4">
        <f t="shared" si="3"/>
        <v>1.4616329944956412</v>
      </c>
      <c r="N10" s="4">
        <f t="shared" si="4"/>
        <v>1.3051945097145972</v>
      </c>
      <c r="O10" s="4">
        <f t="shared" si="5"/>
        <v>213.29961653614379</v>
      </c>
      <c r="P10" s="4">
        <f t="shared" si="6"/>
        <v>0.54367527614544298</v>
      </c>
      <c r="Q10" s="4">
        <f t="shared" si="7"/>
        <v>0.44099853445581344</v>
      </c>
    </row>
    <row r="11" spans="1:17" x14ac:dyDescent="0.2">
      <c r="A11" s="17">
        <v>7</v>
      </c>
      <c r="B11" s="17"/>
      <c r="C11" s="17"/>
      <c r="D11" s="4">
        <v>237.3</v>
      </c>
      <c r="E11" s="19">
        <v>0.70199999999999996</v>
      </c>
      <c r="F11" s="19">
        <f t="shared" si="8"/>
        <v>0.29800000000000004</v>
      </c>
      <c r="G11" s="19">
        <v>0.44</v>
      </c>
      <c r="H11" s="19">
        <f>+G11*D11/(E11*$E$17)</f>
        <v>1.1097973640877685</v>
      </c>
      <c r="I11" s="19">
        <f>+(1-G11)*D11/(F11*$E$18)</f>
        <v>2.4397247286685646</v>
      </c>
      <c r="J11" s="19">
        <f t="shared" si="0"/>
        <v>0.33891436014859161</v>
      </c>
      <c r="K11" s="19">
        <f t="shared" si="1"/>
        <v>5.4365117428906071</v>
      </c>
      <c r="L11" s="4">
        <f t="shared" si="2"/>
        <v>2.3557046979865768</v>
      </c>
      <c r="M11" s="4">
        <f t="shared" si="3"/>
        <v>1.2613465863332967</v>
      </c>
      <c r="N11" s="4">
        <f t="shared" si="4"/>
        <v>1.7148656696261451</v>
      </c>
      <c r="O11" s="4">
        <f t="shared" si="5"/>
        <v>212.0761178233642</v>
      </c>
      <c r="P11" s="4">
        <f t="shared" si="6"/>
        <v>0.55956352467801973</v>
      </c>
      <c r="Q11" s="4">
        <f t="shared" si="7"/>
        <v>0.5520016698331679</v>
      </c>
    </row>
    <row r="12" spans="1:17" x14ac:dyDescent="0.2">
      <c r="A12" s="17">
        <v>8</v>
      </c>
      <c r="B12" s="17"/>
      <c r="C12" s="17"/>
      <c r="D12" s="4">
        <v>219.4</v>
      </c>
      <c r="E12" s="19">
        <v>0.80200000000000005</v>
      </c>
      <c r="F12" s="19">
        <f t="shared" si="8"/>
        <v>0.19799999999999995</v>
      </c>
      <c r="G12" s="19">
        <v>0.50700000000000001</v>
      </c>
      <c r="H12" s="19">
        <f>+G12*D12/(E12*$E$17)</f>
        <v>1.0349052752390029</v>
      </c>
      <c r="I12" s="19">
        <f>+(1-G12)*D12/(F12*$E$18)</f>
        <v>2.9887506203295682</v>
      </c>
      <c r="J12" s="19">
        <f t="shared" si="0"/>
        <v>0.24429791919301597</v>
      </c>
      <c r="K12" s="19">
        <f t="shared" si="1"/>
        <v>7.7698926592118331</v>
      </c>
      <c r="L12" s="4">
        <f t="shared" si="2"/>
        <v>4.0505050505050519</v>
      </c>
      <c r="M12" s="4">
        <f t="shared" si="3"/>
        <v>1.1212212105387409</v>
      </c>
      <c r="N12" s="4">
        <f t="shared" si="4"/>
        <v>2.4583304951493785</v>
      </c>
      <c r="O12" s="4">
        <f t="shared" si="5"/>
        <v>209.48144772726832</v>
      </c>
      <c r="P12" s="4">
        <f t="shared" si="6"/>
        <v>0.5752938350860326</v>
      </c>
      <c r="Q12" s="4">
        <f t="shared" si="7"/>
        <v>0.70679359868195479</v>
      </c>
    </row>
    <row r="13" spans="1:17" x14ac:dyDescent="0.2">
      <c r="A13" s="17">
        <v>9</v>
      </c>
      <c r="B13" s="17"/>
      <c r="C13" s="17"/>
      <c r="D13" s="4">
        <v>196.3</v>
      </c>
      <c r="E13" s="19">
        <v>0.88</v>
      </c>
      <c r="F13" s="19">
        <f t="shared" si="8"/>
        <v>0.12</v>
      </c>
      <c r="G13" s="19">
        <v>0.60499999999999998</v>
      </c>
      <c r="H13" s="19">
        <f>+G13*D13/(E13*$E$17)</f>
        <v>1.0069858976272197</v>
      </c>
      <c r="I13" s="19">
        <f>+(1-G13)*D13/(F13*$E$18)</f>
        <v>3.5351469890943585</v>
      </c>
      <c r="J13" s="19">
        <f t="shared" si="0"/>
        <v>0.15765680172735461</v>
      </c>
      <c r="K13" s="19">
        <f t="shared" si="1"/>
        <v>12.441351146413716</v>
      </c>
      <c r="L13" s="4">
        <f t="shared" si="2"/>
        <v>7.3333333333333339</v>
      </c>
      <c r="M13" s="4">
        <f t="shared" si="3"/>
        <v>1.0464900284681575</v>
      </c>
      <c r="N13" s="4">
        <f t="shared" si="4"/>
        <v>3.5487309276313517</v>
      </c>
      <c r="O13" s="4">
        <f t="shared" si="5"/>
        <v>201.25696705576121</v>
      </c>
      <c r="P13" s="4">
        <f t="shared" si="6"/>
        <v>0.6132484464364939</v>
      </c>
      <c r="Q13" s="4">
        <f t="shared" si="7"/>
        <v>0.86816363432097787</v>
      </c>
    </row>
    <row r="14" spans="1:17" x14ac:dyDescent="0.2">
      <c r="A14" s="17">
        <v>10</v>
      </c>
      <c r="B14" s="17"/>
      <c r="C14" s="17"/>
      <c r="D14" s="4">
        <v>169.5</v>
      </c>
      <c r="E14" s="19">
        <v>0.94299999999999995</v>
      </c>
      <c r="F14" s="19">
        <f t="shared" si="8"/>
        <v>5.7000000000000051E-2</v>
      </c>
      <c r="G14" s="19">
        <v>0.747</v>
      </c>
      <c r="H14" s="19">
        <f>+G14*D14/(E14*$E$17)</f>
        <v>1.0018645228399301</v>
      </c>
      <c r="I14" s="19">
        <f>+(1-G14)*D14/(F14*$E$18)</f>
        <v>4.1161073709550129</v>
      </c>
      <c r="J14" s="19">
        <f t="shared" si="0"/>
        <v>8.2406358449231207E-2</v>
      </c>
      <c r="K14" s="19">
        <f t="shared" si="1"/>
        <v>26.896719815977661</v>
      </c>
      <c r="L14" s="4">
        <f t="shared" si="2"/>
        <v>16.543859649122791</v>
      </c>
      <c r="M14" s="4">
        <f t="shared" si="3"/>
        <v>1.0109344293772546</v>
      </c>
      <c r="N14" s="4">
        <f t="shared" si="4"/>
        <v>5.0771724151879232</v>
      </c>
      <c r="O14" s="4">
        <f t="shared" si="5"/>
        <v>180.65908030904552</v>
      </c>
      <c r="P14" s="4">
        <f t="shared" si="6"/>
        <v>0.70720365879062708</v>
      </c>
      <c r="Q14" s="4">
        <f t="shared" si="7"/>
        <v>0.9960652652796147</v>
      </c>
    </row>
    <row r="15" spans="1:17" x14ac:dyDescent="0.2">
      <c r="A15" s="17">
        <v>11</v>
      </c>
      <c r="B15" s="17"/>
      <c r="C15" s="17"/>
      <c r="D15" s="4">
        <v>145.6</v>
      </c>
      <c r="E15" s="19">
        <v>0.98699999999999999</v>
      </c>
      <c r="F15" s="19">
        <f t="shared" si="8"/>
        <v>1.3000000000000012E-2</v>
      </c>
      <c r="G15" s="19">
        <v>0.91200000000000003</v>
      </c>
      <c r="H15" s="19">
        <f>+G15*D15/(E15*$E$17)</f>
        <v>1.0038514416711382</v>
      </c>
      <c r="I15" s="19">
        <f>+(1-G15)*D15/(F15*$E$18)</f>
        <v>5.3922748659590694</v>
      </c>
      <c r="J15" s="19">
        <f t="shared" si="0"/>
        <v>2.5698646824408838E-2</v>
      </c>
      <c r="K15" s="19">
        <f t="shared" si="1"/>
        <v>154.06585507699975</v>
      </c>
      <c r="L15" s="4">
        <f t="shared" si="2"/>
        <v>75.923076923076849</v>
      </c>
      <c r="M15" s="4">
        <f t="shared" si="3"/>
        <v>1.0005884582542641</v>
      </c>
      <c r="N15" s="4">
        <f t="shared" si="4"/>
        <v>6.7546150061558654</v>
      </c>
      <c r="O15" s="4">
        <f t="shared" si="5"/>
        <v>148.40549082868563</v>
      </c>
      <c r="P15" s="4">
        <f t="shared" si="6"/>
        <v>0.89185096312066581</v>
      </c>
      <c r="Q15" s="4">
        <f t="shared" si="7"/>
        <v>1.0092986801856627</v>
      </c>
    </row>
    <row r="17" spans="4:16" x14ac:dyDescent="0.2">
      <c r="D17" s="4" t="s">
        <v>0</v>
      </c>
      <c r="E17" s="4">
        <v>134.02000000000001</v>
      </c>
      <c r="H17" s="20"/>
      <c r="O17" s="5" t="s">
        <v>7</v>
      </c>
      <c r="P17" s="21">
        <v>0.4803</v>
      </c>
    </row>
    <row r="18" spans="4:16" x14ac:dyDescent="0.2">
      <c r="D18" s="4" t="s">
        <v>1</v>
      </c>
      <c r="E18" s="4">
        <v>182.78</v>
      </c>
      <c r="H18" s="20"/>
      <c r="O18" s="5" t="s">
        <v>8</v>
      </c>
      <c r="P18" s="21">
        <v>2.0004</v>
      </c>
    </row>
    <row r="19" spans="4:16" x14ac:dyDescent="0.2">
      <c r="D19" s="4"/>
      <c r="E19" s="4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N23"/>
  <sheetViews>
    <sheetView zoomScaleNormal="100" workbookViewId="0">
      <selection activeCell="U16" sqref="U16"/>
    </sheetView>
  </sheetViews>
  <sheetFormatPr baseColWidth="10" defaultRowHeight="11.4" x14ac:dyDescent="0.2"/>
  <cols>
    <col min="1" max="1" width="6.75" customWidth="1"/>
    <col min="2" max="2" width="12" customWidth="1"/>
    <col min="3" max="5" width="7.75" customWidth="1"/>
    <col min="6" max="7" width="9.125" customWidth="1"/>
    <col min="8" max="8" width="10.75" customWidth="1"/>
    <col min="9" max="9" width="11.375" customWidth="1"/>
    <col min="10" max="14" width="7.75" customWidth="1"/>
  </cols>
  <sheetData>
    <row r="2" spans="1:14" s="5" customFormat="1" ht="34.200000000000003" x14ac:dyDescent="0.2">
      <c r="A2" s="4" t="s">
        <v>27</v>
      </c>
      <c r="B2" s="7" t="s">
        <v>12</v>
      </c>
      <c r="C2" s="7" t="s">
        <v>2</v>
      </c>
      <c r="D2" s="7" t="s">
        <v>4</v>
      </c>
      <c r="E2" s="7" t="s">
        <v>3</v>
      </c>
      <c r="F2" s="7" t="s">
        <v>22</v>
      </c>
      <c r="G2" s="7" t="s">
        <v>23</v>
      </c>
      <c r="H2" s="16" t="s">
        <v>26</v>
      </c>
      <c r="I2" s="16" t="s">
        <v>25</v>
      </c>
      <c r="J2" s="7" t="s">
        <v>11</v>
      </c>
      <c r="K2" s="7" t="s">
        <v>21</v>
      </c>
      <c r="L2" s="7" t="s">
        <v>6</v>
      </c>
      <c r="M2" s="7" t="s">
        <v>10</v>
      </c>
      <c r="N2" s="7" t="s">
        <v>24</v>
      </c>
    </row>
    <row r="3" spans="1:14" ht="13.2" x14ac:dyDescent="0.25">
      <c r="A3" s="17">
        <v>1</v>
      </c>
      <c r="B3" s="8">
        <v>208.4</v>
      </c>
      <c r="C3" s="9">
        <v>0.02</v>
      </c>
      <c r="D3" s="9">
        <f>1-C3</f>
        <v>0.98</v>
      </c>
      <c r="E3" s="9">
        <v>0.14499999999999999</v>
      </c>
      <c r="F3" s="10">
        <f t="shared" ref="F3:F13" si="0">+E3*B3/(C3*$C$15)</f>
        <v>11.273690493956126</v>
      </c>
      <c r="G3" s="9">
        <f>+(1-E3)*B3/(D3*$C$16)</f>
        <v>0.99473885188170896</v>
      </c>
      <c r="H3" s="9">
        <f t="shared" ref="H3:H13" si="1">+C3*LN(F3)+D3*LN(G3)</f>
        <v>4.3279898765168259E-2</v>
      </c>
      <c r="I3" s="9">
        <f>+C3*LN(J3)+D3*LN(K3)</f>
        <v>4.1964137726274969E-2</v>
      </c>
      <c r="J3" s="11">
        <f>+EXP(-LN(C3+$G$18*(1-C3))+(1-C3)*($G$18/(C3+$G$18*(1-C3))-$G$19/($G$19*C3+(1-C3))))</f>
        <v>7.5187206919246838</v>
      </c>
      <c r="K3" s="11">
        <f>+EXP(-LN(D3+$G$19*C3)-(C3)*($G$18/(C3+$G$18*(1-C3))-$G$19/($G$19*C3+(1-C3))))</f>
        <v>1.001650562386734</v>
      </c>
      <c r="L3" s="1">
        <f>+C3*J3*$C$15+D3*K3*$C$16</f>
        <v>199.57323493982122</v>
      </c>
      <c r="M3" s="2">
        <f>+C3*J3*$C$15/L3</f>
        <v>0.10098137131821239</v>
      </c>
      <c r="N3" s="1">
        <f>+E3*L3/(J3*$C$15)</f>
        <v>2.8718168134808975E-2</v>
      </c>
    </row>
    <row r="4" spans="1:14" ht="13.2" x14ac:dyDescent="0.25">
      <c r="A4" s="17">
        <v>2</v>
      </c>
      <c r="B4" s="8">
        <v>239.8</v>
      </c>
      <c r="C4" s="9">
        <v>9.5000000000000001E-2</v>
      </c>
      <c r="D4" s="9">
        <f t="shared" ref="D4:D13" si="2">1-C4</f>
        <v>0.90500000000000003</v>
      </c>
      <c r="E4" s="9">
        <v>0.28000000000000003</v>
      </c>
      <c r="F4" s="10">
        <f t="shared" si="0"/>
        <v>5.2736826396688627</v>
      </c>
      <c r="G4" s="9">
        <f t="shared" ref="G4:G13" si="3">+(1-E4)*B4/(D4*$C$16)</f>
        <v>1.0437690693579034</v>
      </c>
      <c r="H4" s="9">
        <f t="shared" si="1"/>
        <v>0.19672787829250182</v>
      </c>
      <c r="I4" s="9">
        <f t="shared" ref="I4:I13" si="4">+C4*LN(J4)+D4*LN(K4)</f>
        <v>0.17300882229446504</v>
      </c>
      <c r="J4" s="11">
        <f t="shared" ref="J4:J13" si="5">+EXP(-LN(C4+$G$18*(1-C4))+(1-C4)*($G$18/(C4+$G$18*(1-C4))-$G$19/($G$19*C4+(1-C4))))</f>
        <v>4.6400305997650957</v>
      </c>
      <c r="K4" s="11">
        <f t="shared" ref="K4:K12" si="6">+EXP(-LN(D4+$G$19*C4)-(C4)*($G$18/(C4+$G$18*(1-C4))-$G$19/($G$19*C4+(1-C4))))</f>
        <v>1.0305232305555381</v>
      </c>
      <c r="L4" s="1">
        <f t="shared" ref="L4:L13" si="7">+C4*J4*$C$15+D4*K4*$C$16</f>
        <v>229.54133324640105</v>
      </c>
      <c r="M4" s="2">
        <f t="shared" ref="M4:M13" si="8">+C4*J4*$C$15/L4</f>
        <v>0.25736717983481294</v>
      </c>
      <c r="N4" s="1">
        <f t="shared" ref="N4:N13" si="9">+E4*L4/(J4*$C$15)</f>
        <v>0.10335428168064317</v>
      </c>
    </row>
    <row r="5" spans="1:14" ht="13.2" x14ac:dyDescent="0.25">
      <c r="A5" s="17">
        <v>3</v>
      </c>
      <c r="B5" s="8">
        <v>249.1</v>
      </c>
      <c r="C5" s="9">
        <v>0.20399999999999999</v>
      </c>
      <c r="D5" s="9">
        <f t="shared" si="2"/>
        <v>0.79600000000000004</v>
      </c>
      <c r="E5" s="9">
        <v>0.33200000000000002</v>
      </c>
      <c r="F5" s="10">
        <f t="shared" si="0"/>
        <v>3.0249070229494572</v>
      </c>
      <c r="G5" s="9">
        <f t="shared" si="3"/>
        <v>1.1436903304134192</v>
      </c>
      <c r="H5" s="9">
        <f t="shared" si="1"/>
        <v>0.33267468460686583</v>
      </c>
      <c r="I5" s="9">
        <f t="shared" si="4"/>
        <v>0.3056156467077828</v>
      </c>
      <c r="J5" s="11">
        <f t="shared" si="5"/>
        <v>2.9042621368045447</v>
      </c>
      <c r="K5" s="11">
        <f t="shared" si="6"/>
        <v>1.1170567315696556</v>
      </c>
      <c r="L5" s="1">
        <f t="shared" si="7"/>
        <v>241.92656016066331</v>
      </c>
      <c r="M5" s="2">
        <f t="shared" si="8"/>
        <v>0.32821017712348677</v>
      </c>
      <c r="N5" s="1">
        <f t="shared" si="9"/>
        <v>0.20635557554486741</v>
      </c>
    </row>
    <row r="6" spans="1:14" ht="13.2" x14ac:dyDescent="0.25">
      <c r="A6" s="17">
        <v>4</v>
      </c>
      <c r="B6" s="8">
        <v>252.3</v>
      </c>
      <c r="C6" s="9">
        <v>0.378</v>
      </c>
      <c r="D6" s="9">
        <f t="shared" si="2"/>
        <v>0.622</v>
      </c>
      <c r="E6" s="9">
        <v>0.36199999999999999</v>
      </c>
      <c r="F6" s="10">
        <f t="shared" si="0"/>
        <v>1.8028699815000364</v>
      </c>
      <c r="G6" s="9">
        <f t="shared" si="3"/>
        <v>1.4158553022997091</v>
      </c>
      <c r="H6" s="9">
        <f t="shared" si="1"/>
        <v>0.43907600057661711</v>
      </c>
      <c r="I6" s="9">
        <f t="shared" si="4"/>
        <v>0.41204235139698797</v>
      </c>
      <c r="J6" s="11">
        <f t="shared" si="5"/>
        <v>1.816223996489627</v>
      </c>
      <c r="K6" s="11">
        <f t="shared" si="6"/>
        <v>1.3495706707014949</v>
      </c>
      <c r="L6" s="1">
        <f t="shared" si="7"/>
        <v>245.44066443629561</v>
      </c>
      <c r="M6" s="2">
        <f t="shared" si="8"/>
        <v>0.37487312355075181</v>
      </c>
      <c r="N6" s="1">
        <f t="shared" si="9"/>
        <v>0.36501949967473357</v>
      </c>
    </row>
    <row r="7" spans="1:14" ht="13.2" x14ac:dyDescent="0.25">
      <c r="A7" s="17">
        <v>5</v>
      </c>
      <c r="B7" s="8">
        <v>248.8</v>
      </c>
      <c r="C7" s="9">
        <v>0.49</v>
      </c>
      <c r="D7" s="9">
        <f t="shared" si="2"/>
        <v>0.51</v>
      </c>
      <c r="E7" s="9">
        <v>0.38400000000000001</v>
      </c>
      <c r="F7" s="10">
        <f t="shared" si="0"/>
        <v>1.4548422562578232</v>
      </c>
      <c r="G7" s="9">
        <f t="shared" si="3"/>
        <v>1.6441151797188951</v>
      </c>
      <c r="H7" s="9">
        <f t="shared" si="1"/>
        <v>0.43727296606991634</v>
      </c>
      <c r="I7" s="9">
        <f t="shared" si="4"/>
        <v>0.42493958686872813</v>
      </c>
      <c r="J7" s="11">
        <f t="shared" si="5"/>
        <v>1.4822871688455588</v>
      </c>
      <c r="K7" s="11">
        <f t="shared" si="6"/>
        <v>1.5762732415233485</v>
      </c>
      <c r="L7" s="1">
        <f t="shared" si="7"/>
        <v>244.27822569432928</v>
      </c>
      <c r="M7" s="2">
        <f t="shared" si="8"/>
        <v>0.39848620008587932</v>
      </c>
      <c r="N7" s="1">
        <f t="shared" si="9"/>
        <v>0.47218699156821214</v>
      </c>
    </row>
    <row r="8" spans="1:14" ht="13.2" x14ac:dyDescent="0.25">
      <c r="A8" s="17">
        <v>6</v>
      </c>
      <c r="B8" s="8">
        <v>245.7</v>
      </c>
      <c r="C8" s="9">
        <v>0.59199999999999997</v>
      </c>
      <c r="D8" s="9">
        <f t="shared" si="2"/>
        <v>0.40800000000000003</v>
      </c>
      <c r="E8" s="9">
        <v>0.40500000000000003</v>
      </c>
      <c r="F8" s="10">
        <f t="shared" si="0"/>
        <v>1.2542059575618001</v>
      </c>
      <c r="G8" s="9">
        <f t="shared" si="3"/>
        <v>1.9603485064011377</v>
      </c>
      <c r="H8" s="9">
        <f t="shared" si="1"/>
        <v>0.40872346503356294</v>
      </c>
      <c r="I8" s="9">
        <f t="shared" si="4"/>
        <v>0.40290381435496575</v>
      </c>
      <c r="J8" s="11">
        <f t="shared" si="5"/>
        <v>1.287190531351758</v>
      </c>
      <c r="K8" s="11">
        <f t="shared" si="6"/>
        <v>1.8611451944793258</v>
      </c>
      <c r="L8" s="1">
        <f t="shared" si="7"/>
        <v>240.91897921491142</v>
      </c>
      <c r="M8" s="2">
        <f t="shared" si="8"/>
        <v>0.42389973234886813</v>
      </c>
      <c r="N8" s="1">
        <f t="shared" si="9"/>
        <v>0.56560545266558071</v>
      </c>
    </row>
    <row r="9" spans="1:14" ht="13.2" x14ac:dyDescent="0.25">
      <c r="A9" s="17">
        <v>7</v>
      </c>
      <c r="B9" s="8">
        <v>237.3</v>
      </c>
      <c r="C9" s="9">
        <v>0.70199999999999996</v>
      </c>
      <c r="D9" s="9">
        <f t="shared" si="2"/>
        <v>0.29800000000000004</v>
      </c>
      <c r="E9" s="9">
        <v>0.44</v>
      </c>
      <c r="F9" s="10">
        <f t="shared" si="0"/>
        <v>1.1097973640877685</v>
      </c>
      <c r="G9" s="9">
        <f t="shared" si="3"/>
        <v>2.4397247286685646</v>
      </c>
      <c r="H9" s="9">
        <f t="shared" si="1"/>
        <v>0.33891436014859161</v>
      </c>
      <c r="I9" s="9">
        <f t="shared" si="4"/>
        <v>0.34445077758152098</v>
      </c>
      <c r="J9" s="11">
        <f t="shared" si="5"/>
        <v>1.1475345795644358</v>
      </c>
      <c r="K9" s="11">
        <f t="shared" si="6"/>
        <v>2.2972044165493664</v>
      </c>
      <c r="L9" s="1">
        <f t="shared" si="7"/>
        <v>233.08753514651863</v>
      </c>
      <c r="M9" s="2">
        <f t="shared" si="8"/>
        <v>0.46318390276897203</v>
      </c>
      <c r="N9" s="1">
        <f t="shared" si="9"/>
        <v>0.66686255319642207</v>
      </c>
    </row>
    <row r="10" spans="1:14" ht="13.2" x14ac:dyDescent="0.25">
      <c r="A10" s="17">
        <v>8</v>
      </c>
      <c r="B10" s="8">
        <v>219.4</v>
      </c>
      <c r="C10" s="9">
        <v>0.80200000000000005</v>
      </c>
      <c r="D10" s="9">
        <f t="shared" si="2"/>
        <v>0.19799999999999995</v>
      </c>
      <c r="E10" s="9">
        <v>0.50700000000000001</v>
      </c>
      <c r="F10" s="10">
        <f t="shared" si="0"/>
        <v>1.0349052752390029</v>
      </c>
      <c r="G10" s="9">
        <f t="shared" si="3"/>
        <v>2.9887506203295682</v>
      </c>
      <c r="H10" s="9">
        <f t="shared" si="1"/>
        <v>0.24429791919301597</v>
      </c>
      <c r="I10" s="9">
        <f t="shared" si="4"/>
        <v>0.26007113988748431</v>
      </c>
      <c r="J10" s="11">
        <f t="shared" si="5"/>
        <v>1.0650400870702008</v>
      </c>
      <c r="K10" s="11">
        <f t="shared" si="6"/>
        <v>2.8813484705412344</v>
      </c>
      <c r="L10" s="1">
        <f t="shared" si="7"/>
        <v>218.75208026247122</v>
      </c>
      <c r="M10" s="2">
        <f t="shared" si="8"/>
        <v>0.52330844663467224</v>
      </c>
      <c r="N10" s="1">
        <f t="shared" si="9"/>
        <v>0.77700637666921146</v>
      </c>
    </row>
    <row r="11" spans="1:14" ht="13.2" x14ac:dyDescent="0.25">
      <c r="A11" s="17">
        <v>9</v>
      </c>
      <c r="B11" s="8">
        <v>196.3</v>
      </c>
      <c r="C11" s="9">
        <v>0.88</v>
      </c>
      <c r="D11" s="9">
        <f t="shared" si="2"/>
        <v>0.12</v>
      </c>
      <c r="E11" s="9">
        <v>0.60499999999999998</v>
      </c>
      <c r="F11" s="10">
        <f t="shared" si="0"/>
        <v>1.0069858976272197</v>
      </c>
      <c r="G11" s="9">
        <f t="shared" si="3"/>
        <v>3.5351469890943585</v>
      </c>
      <c r="H11" s="9">
        <f t="shared" si="1"/>
        <v>0.15765680172735461</v>
      </c>
      <c r="I11" s="9">
        <f t="shared" si="4"/>
        <v>0.17295570277412001</v>
      </c>
      <c r="J11" s="11">
        <f t="shared" si="5"/>
        <v>1.0243858374302608</v>
      </c>
      <c r="K11" s="11">
        <f t="shared" si="6"/>
        <v>3.5417242671795512</v>
      </c>
      <c r="L11" s="1">
        <f t="shared" si="7"/>
        <v>198.49637052712453</v>
      </c>
      <c r="M11" s="2">
        <f t="shared" si="8"/>
        <v>0.60864391031273768</v>
      </c>
      <c r="N11" s="1">
        <f t="shared" si="9"/>
        <v>0.87473149895878932</v>
      </c>
    </row>
    <row r="12" spans="1:14" ht="13.2" x14ac:dyDescent="0.25">
      <c r="A12" s="17">
        <v>10</v>
      </c>
      <c r="B12" s="8">
        <v>169.5</v>
      </c>
      <c r="C12" s="9">
        <v>0.94299999999999995</v>
      </c>
      <c r="D12" s="9">
        <f t="shared" si="2"/>
        <v>5.7000000000000051E-2</v>
      </c>
      <c r="E12" s="9">
        <v>0.747</v>
      </c>
      <c r="F12" s="10">
        <f t="shared" si="0"/>
        <v>1.0018645228399301</v>
      </c>
      <c r="G12" s="9">
        <f t="shared" si="3"/>
        <v>4.1161073709550129</v>
      </c>
      <c r="H12" s="9">
        <f t="shared" si="1"/>
        <v>8.2406358449231207E-2</v>
      </c>
      <c r="I12" s="9">
        <f t="shared" si="4"/>
        <v>8.8281632310692609E-2</v>
      </c>
      <c r="J12" s="11">
        <f t="shared" si="5"/>
        <v>1.0056766524214653</v>
      </c>
      <c r="K12" s="11">
        <f t="shared" si="6"/>
        <v>4.28513638173958</v>
      </c>
      <c r="L12" s="1">
        <f t="shared" si="7"/>
        <v>171.74280220264444</v>
      </c>
      <c r="M12" s="2">
        <f t="shared" si="8"/>
        <v>0.74005011322092451</v>
      </c>
      <c r="N12" s="1">
        <f t="shared" si="9"/>
        <v>0.95185581005338171</v>
      </c>
    </row>
    <row r="13" spans="1:14" ht="13.2" x14ac:dyDescent="0.25">
      <c r="A13" s="17">
        <v>11</v>
      </c>
      <c r="B13" s="8">
        <v>145.6</v>
      </c>
      <c r="C13" s="9">
        <v>0.98699999999999999</v>
      </c>
      <c r="D13" s="9">
        <f t="shared" si="2"/>
        <v>1.3000000000000012E-2</v>
      </c>
      <c r="E13" s="9">
        <v>0.91200000000000003</v>
      </c>
      <c r="F13" s="10">
        <f t="shared" si="0"/>
        <v>1.0038514416711382</v>
      </c>
      <c r="G13" s="9">
        <f t="shared" si="3"/>
        <v>5.3922748659590694</v>
      </c>
      <c r="H13" s="9">
        <f t="shared" si="1"/>
        <v>2.5698646824408838E-2</v>
      </c>
      <c r="I13" s="9">
        <f t="shared" si="4"/>
        <v>2.1147221748187364E-2</v>
      </c>
      <c r="J13" s="11">
        <f t="shared" si="5"/>
        <v>1.0003043384875379</v>
      </c>
      <c r="K13" s="11">
        <f>+EXP(-LN(D13+$G$19*C13)-(C13)*($G$18/(C13+$G$18*(1-C13))-$G$19/($G$19*C13+(1-C13))))</f>
        <v>4.9709281153352691</v>
      </c>
      <c r="L13" s="1">
        <f t="shared" si="7"/>
        <v>144.1296183392993</v>
      </c>
      <c r="M13" s="2">
        <f t="shared" si="8"/>
        <v>0.91804861992927278</v>
      </c>
      <c r="N13" s="1">
        <f t="shared" si="9"/>
        <v>0.98049708965234073</v>
      </c>
    </row>
    <row r="14" spans="1:14" x14ac:dyDescent="0.2">
      <c r="M14" s="3"/>
    </row>
    <row r="15" spans="1:14" x14ac:dyDescent="0.2">
      <c r="B15" s="1" t="s">
        <v>13</v>
      </c>
      <c r="C15" s="1">
        <v>134.02000000000001</v>
      </c>
      <c r="F15" s="6"/>
      <c r="G15" s="15"/>
      <c r="M15" s="3"/>
    </row>
    <row r="16" spans="1:14" x14ac:dyDescent="0.2">
      <c r="B16" s="1" t="s">
        <v>14</v>
      </c>
      <c r="C16" s="1">
        <v>182.78</v>
      </c>
      <c r="F16" s="6"/>
      <c r="M16" s="3"/>
    </row>
    <row r="18" spans="2:7" x14ac:dyDescent="0.2">
      <c r="B18" s="1" t="s">
        <v>15</v>
      </c>
      <c r="C18" s="1">
        <f>1264.4318</f>
        <v>1264.4318000000001</v>
      </c>
      <c r="F18" s="1" t="s">
        <v>7</v>
      </c>
      <c r="G18" s="14">
        <f>+C23/C22*EXP(-C18/(C20*C21))</f>
        <v>0.19969448455984468</v>
      </c>
    </row>
    <row r="19" spans="2:7" x14ac:dyDescent="0.2">
      <c r="B19" s="1" t="s">
        <v>16</v>
      </c>
      <c r="C19" s="12">
        <v>266.81180000000001</v>
      </c>
      <c r="F19" s="1" t="s">
        <v>8</v>
      </c>
      <c r="G19" s="14">
        <f>+C22/C23*EXP(-C19/(C20*C21))</f>
        <v>0.42744333344775287</v>
      </c>
    </row>
    <row r="20" spans="2:7" x14ac:dyDescent="0.2">
      <c r="B20" s="13" t="s">
        <v>17</v>
      </c>
      <c r="C20" s="13">
        <v>1.9870000000000001</v>
      </c>
    </row>
    <row r="21" spans="2:7" x14ac:dyDescent="0.2">
      <c r="B21" s="13" t="s">
        <v>18</v>
      </c>
      <c r="C21" s="1">
        <f>40+273.15</f>
        <v>313.14999999999998</v>
      </c>
    </row>
    <row r="22" spans="2:7" x14ac:dyDescent="0.2">
      <c r="B22" s="13" t="s">
        <v>19</v>
      </c>
      <c r="C22" s="1">
        <v>58.68</v>
      </c>
    </row>
    <row r="23" spans="2:7" x14ac:dyDescent="0.2">
      <c r="B23" s="13" t="s">
        <v>20</v>
      </c>
      <c r="C23" s="1">
        <v>89.41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5B0FA-24B3-4BC4-8B31-34A21BA35702}">
  <dimension ref="A2:Q61"/>
  <sheetViews>
    <sheetView tabSelected="1" topLeftCell="D37" workbookViewId="0">
      <selection activeCell="I50" sqref="I50"/>
    </sheetView>
  </sheetViews>
  <sheetFormatPr baseColWidth="10" defaultRowHeight="11.4" x14ac:dyDescent="0.2"/>
  <cols>
    <col min="6" max="6" width="13" customWidth="1"/>
    <col min="7" max="7" width="12.125" customWidth="1"/>
    <col min="12" max="12" width="17.375" customWidth="1"/>
    <col min="13" max="13" width="17.125" customWidth="1"/>
  </cols>
  <sheetData>
    <row r="2" spans="1:12" ht="19.2" x14ac:dyDescent="0.35">
      <c r="A2" s="52" t="s">
        <v>54</v>
      </c>
      <c r="B2" s="52"/>
      <c r="C2" s="52"/>
      <c r="D2" s="52"/>
      <c r="E2" s="52"/>
      <c r="F2" s="52"/>
    </row>
    <row r="5" spans="1:12" ht="12" x14ac:dyDescent="0.25">
      <c r="C5" s="33" t="s">
        <v>42</v>
      </c>
      <c r="D5" s="33" t="s">
        <v>43</v>
      </c>
      <c r="H5" s="17" t="s">
        <v>39</v>
      </c>
      <c r="I5" s="40" t="s">
        <v>40</v>
      </c>
      <c r="J5" s="22"/>
    </row>
    <row r="6" spans="1:12" ht="12" x14ac:dyDescent="0.25">
      <c r="B6" s="31" t="s">
        <v>37</v>
      </c>
      <c r="C6" s="17">
        <v>11.92</v>
      </c>
      <c r="D6" s="17">
        <v>4050</v>
      </c>
      <c r="H6" s="28">
        <v>31</v>
      </c>
      <c r="I6" s="40">
        <v>0.45</v>
      </c>
      <c r="J6" s="22"/>
    </row>
    <row r="7" spans="1:12" x14ac:dyDescent="0.2">
      <c r="B7" s="31" t="s">
        <v>38</v>
      </c>
      <c r="C7" s="17">
        <v>12.12</v>
      </c>
      <c r="D7" s="17">
        <v>4050</v>
      </c>
      <c r="G7" s="29" t="s">
        <v>41</v>
      </c>
      <c r="H7" s="29">
        <f>H6+273.15</f>
        <v>304.14999999999998</v>
      </c>
    </row>
    <row r="11" spans="1:12" x14ac:dyDescent="0.2">
      <c r="F11" s="31" t="s">
        <v>37</v>
      </c>
      <c r="G11" s="31" t="s">
        <v>38</v>
      </c>
    </row>
    <row r="12" spans="1:12" ht="13.2" x14ac:dyDescent="0.2">
      <c r="E12" s="32" t="s">
        <v>44</v>
      </c>
      <c r="F12" s="30">
        <f>EXP(C6-D6/H7)</f>
        <v>0.24763531331034919</v>
      </c>
      <c r="G12" s="30">
        <f>EXP(C7-D7/H7)</f>
        <v>0.30246245469511812</v>
      </c>
    </row>
    <row r="13" spans="1:12" x14ac:dyDescent="0.2">
      <c r="E13" s="39"/>
      <c r="F13" s="38"/>
      <c r="G13" s="38"/>
    </row>
    <row r="14" spans="1:12" x14ac:dyDescent="0.2">
      <c r="E14" s="39"/>
      <c r="F14" s="38"/>
      <c r="G14" s="38"/>
    </row>
    <row r="15" spans="1:12" ht="12" x14ac:dyDescent="0.25">
      <c r="E15" s="47"/>
      <c r="I15" s="40" t="s">
        <v>52</v>
      </c>
      <c r="J15" s="48"/>
      <c r="K15" s="48"/>
      <c r="L15" s="48"/>
    </row>
    <row r="16" spans="1:12" ht="39" customHeight="1" x14ac:dyDescent="0.25">
      <c r="E16" s="49" t="s">
        <v>48</v>
      </c>
      <c r="F16" s="42" t="s">
        <v>49</v>
      </c>
      <c r="G16" s="42" t="s">
        <v>50</v>
      </c>
      <c r="H16" s="51"/>
      <c r="I16" s="43" t="s">
        <v>51</v>
      </c>
      <c r="J16" s="44" t="s">
        <v>48</v>
      </c>
      <c r="K16" s="45"/>
      <c r="L16" s="46"/>
    </row>
    <row r="17" spans="1:12" ht="13.2" x14ac:dyDescent="0.3">
      <c r="E17" s="34" t="s">
        <v>34</v>
      </c>
      <c r="F17" s="27" t="s">
        <v>35</v>
      </c>
      <c r="G17" s="27" t="s">
        <v>36</v>
      </c>
      <c r="H17" s="27" t="s">
        <v>33</v>
      </c>
      <c r="I17" s="50" t="s">
        <v>46</v>
      </c>
      <c r="J17" s="34" t="s">
        <v>47</v>
      </c>
      <c r="K17" s="34" t="s">
        <v>45</v>
      </c>
      <c r="L17" s="34" t="s">
        <v>53</v>
      </c>
    </row>
    <row r="18" spans="1:12" x14ac:dyDescent="0.2">
      <c r="E18" s="35">
        <v>0</v>
      </c>
      <c r="F18" s="30">
        <f>EXP($I$6*J18^2)</f>
        <v>1.5683121854901689</v>
      </c>
      <c r="G18" s="30">
        <f>EXP($I$6*E18^2)</f>
        <v>1</v>
      </c>
      <c r="H18" s="41">
        <f>E18*$F$12*F18+J18*$G$12*G18</f>
        <v>0.30246245469511812</v>
      </c>
      <c r="I18" s="30">
        <f>E18*$F$12*F18/H18</f>
        <v>0</v>
      </c>
      <c r="J18" s="35">
        <f>1-E18</f>
        <v>1</v>
      </c>
      <c r="K18" s="36">
        <f>E18*$F$12+J18*$G$12</f>
        <v>0.30246245469511812</v>
      </c>
      <c r="L18" s="37">
        <f>E18*$F$12/K18</f>
        <v>0</v>
      </c>
    </row>
    <row r="19" spans="1:12" x14ac:dyDescent="0.2">
      <c r="E19" s="35">
        <v>0.1</v>
      </c>
      <c r="F19" s="30">
        <f t="shared" ref="F19:F28" si="0">EXP($I$6*J19^2)</f>
        <v>1.4397939311793866</v>
      </c>
      <c r="G19" s="30">
        <f t="shared" ref="G19:G28" si="1">EXP($I$6*E19^2)</f>
        <v>1.0045101402046013</v>
      </c>
      <c r="H19" s="41">
        <f t="shared" ref="H19:H28" si="2">E19*$F$12*F19+J19*$G$12*G19</f>
        <v>0.3090983246201735</v>
      </c>
      <c r="I19" s="30">
        <f t="shared" ref="I19:I28" si="3">E19*$F$12*F19/H19</f>
        <v>0.11534964535575379</v>
      </c>
      <c r="J19" s="35">
        <f t="shared" ref="J19:J28" si="4">1-E19</f>
        <v>0.9</v>
      </c>
      <c r="K19" s="36">
        <f t="shared" ref="K19:K28" si="5">E19*$F$12+J19*$G$12</f>
        <v>0.29697974055664123</v>
      </c>
      <c r="L19" s="37">
        <f t="shared" ref="L19:L28" si="6">E19*$F$12/K19</f>
        <v>8.3384581334132846E-2</v>
      </c>
    </row>
    <row r="20" spans="1:12" x14ac:dyDescent="0.2">
      <c r="E20" s="35">
        <v>0.2</v>
      </c>
      <c r="F20" s="30">
        <f t="shared" si="0"/>
        <v>1.3337573041233846</v>
      </c>
      <c r="G20" s="30">
        <f t="shared" si="1"/>
        <v>1.0181629763897937</v>
      </c>
      <c r="H20" s="41">
        <f t="shared" si="2"/>
        <v>0.31242194007214791</v>
      </c>
      <c r="I20" s="30">
        <f t="shared" si="3"/>
        <v>0.21143547588897749</v>
      </c>
      <c r="J20" s="35">
        <f t="shared" si="4"/>
        <v>0.8</v>
      </c>
      <c r="K20" s="36">
        <f t="shared" si="5"/>
        <v>0.29149702641816433</v>
      </c>
      <c r="L20" s="37">
        <f t="shared" si="6"/>
        <v>0.16990589328009562</v>
      </c>
    </row>
    <row r="21" spans="1:12" x14ac:dyDescent="0.2">
      <c r="E21" s="35">
        <v>0.3</v>
      </c>
      <c r="F21" s="30">
        <f t="shared" si="0"/>
        <v>1.2466999247382289</v>
      </c>
      <c r="G21" s="30">
        <f t="shared" si="1"/>
        <v>1.0413313097025174</v>
      </c>
      <c r="H21" s="41">
        <f t="shared" si="2"/>
        <v>0.31309261479841599</v>
      </c>
      <c r="I21" s="30">
        <f t="shared" si="3"/>
        <v>0.29581687194887674</v>
      </c>
      <c r="J21" s="35">
        <f t="shared" si="4"/>
        <v>0.7</v>
      </c>
      <c r="K21" s="36">
        <f t="shared" si="5"/>
        <v>0.28601431227968743</v>
      </c>
      <c r="L21" s="37">
        <f t="shared" si="6"/>
        <v>0.25974432328567365</v>
      </c>
    </row>
    <row r="22" spans="1:12" x14ac:dyDescent="0.2">
      <c r="E22" s="35">
        <v>0.4</v>
      </c>
      <c r="F22" s="30">
        <f t="shared" si="0"/>
        <v>1.1758602413209998</v>
      </c>
      <c r="G22" s="30">
        <f t="shared" si="1"/>
        <v>1.0746553440638136</v>
      </c>
      <c r="H22" s="41">
        <f t="shared" si="2"/>
        <v>0.31149954369754407</v>
      </c>
      <c r="I22" s="30">
        <f t="shared" si="3"/>
        <v>0.37391325304982054</v>
      </c>
      <c r="J22" s="35">
        <f t="shared" si="4"/>
        <v>0.6</v>
      </c>
      <c r="K22" s="36">
        <f t="shared" si="5"/>
        <v>0.28053159814121054</v>
      </c>
      <c r="L22" s="37">
        <f t="shared" si="6"/>
        <v>0.35309436077956191</v>
      </c>
    </row>
    <row r="23" spans="1:12" x14ac:dyDescent="0.2">
      <c r="E23" s="35">
        <v>0.5</v>
      </c>
      <c r="F23" s="30">
        <f t="shared" si="0"/>
        <v>1.1190722569127807</v>
      </c>
      <c r="G23" s="30">
        <f t="shared" si="1"/>
        <v>1.1190722569127807</v>
      </c>
      <c r="H23" s="41">
        <f t="shared" si="2"/>
        <v>0.30779957538228075</v>
      </c>
      <c r="I23" s="30">
        <f t="shared" si="3"/>
        <v>0.45016600268752227</v>
      </c>
      <c r="J23" s="35">
        <f t="shared" si="4"/>
        <v>0.5</v>
      </c>
      <c r="K23" s="36">
        <f t="shared" si="5"/>
        <v>0.27504888400273364</v>
      </c>
      <c r="L23" s="37">
        <f t="shared" si="6"/>
        <v>0.45016600268752227</v>
      </c>
    </row>
    <row r="24" spans="1:12" x14ac:dyDescent="0.2">
      <c r="E24" s="35">
        <v>0.6</v>
      </c>
      <c r="F24" s="30">
        <f t="shared" si="0"/>
        <v>1.0746553440638136</v>
      </c>
      <c r="G24" s="30">
        <f t="shared" si="1"/>
        <v>1.1758602413209998</v>
      </c>
      <c r="H24" s="41">
        <f t="shared" si="2"/>
        <v>0.30193499768406756</v>
      </c>
      <c r="I24" s="30">
        <f t="shared" si="3"/>
        <v>0.52883424883327379</v>
      </c>
      <c r="J24" s="35">
        <f t="shared" si="4"/>
        <v>0.4</v>
      </c>
      <c r="K24" s="36">
        <f t="shared" si="5"/>
        <v>0.26956616986425674</v>
      </c>
      <c r="L24" s="37">
        <f t="shared" si="6"/>
        <v>0.55118633046954424</v>
      </c>
    </row>
    <row r="25" spans="1:12" x14ac:dyDescent="0.2">
      <c r="E25" s="35">
        <v>0.7</v>
      </c>
      <c r="F25" s="30">
        <f t="shared" si="0"/>
        <v>1.0413313097025174</v>
      </c>
      <c r="G25" s="30">
        <f t="shared" si="1"/>
        <v>1.2466999247382289</v>
      </c>
      <c r="H25" s="41">
        <f t="shared" si="2"/>
        <v>0.29363325944800456</v>
      </c>
      <c r="I25" s="30">
        <f t="shared" si="3"/>
        <v>0.6147439971070624</v>
      </c>
      <c r="J25" s="35">
        <f t="shared" si="4"/>
        <v>0.30000000000000004</v>
      </c>
      <c r="K25" s="36">
        <f t="shared" si="5"/>
        <v>0.2640834557257799</v>
      </c>
      <c r="L25" s="37">
        <f t="shared" si="6"/>
        <v>0.65640128360499361</v>
      </c>
    </row>
    <row r="26" spans="1:12" x14ac:dyDescent="0.2">
      <c r="E26" s="35">
        <v>0.8</v>
      </c>
      <c r="F26" s="30">
        <f t="shared" si="0"/>
        <v>1.0181629763897937</v>
      </c>
      <c r="G26" s="30">
        <f t="shared" si="1"/>
        <v>1.3337573041233846</v>
      </c>
      <c r="H26" s="41">
        <f t="shared" si="2"/>
        <v>0.2823887877619678</v>
      </c>
      <c r="I26" s="30">
        <f t="shared" si="3"/>
        <v>0.7142864549475334</v>
      </c>
      <c r="J26" s="35">
        <f t="shared" si="4"/>
        <v>0.19999999999999996</v>
      </c>
      <c r="K26" s="36">
        <f t="shared" si="5"/>
        <v>0.25860074158730295</v>
      </c>
      <c r="L26" s="37">
        <f t="shared" si="6"/>
        <v>0.76607765868064426</v>
      </c>
    </row>
    <row r="27" spans="1:12" x14ac:dyDescent="0.2">
      <c r="E27" s="35">
        <v>0.9</v>
      </c>
      <c r="F27" s="30">
        <f t="shared" si="0"/>
        <v>1.0045101402046013</v>
      </c>
      <c r="G27" s="30">
        <f t="shared" si="1"/>
        <v>1.4397939311793866</v>
      </c>
      <c r="H27" s="41">
        <f t="shared" si="2"/>
        <v>0.26742532563165544</v>
      </c>
      <c r="I27" s="30">
        <f t="shared" si="3"/>
        <v>0.83715693132240032</v>
      </c>
      <c r="J27" s="35">
        <f t="shared" si="4"/>
        <v>9.9999999999999978E-2</v>
      </c>
      <c r="K27" s="36">
        <f t="shared" si="5"/>
        <v>0.25311802744882606</v>
      </c>
      <c r="L27" s="37">
        <f t="shared" si="6"/>
        <v>0.8805053682886067</v>
      </c>
    </row>
    <row r="28" spans="1:12" x14ac:dyDescent="0.2">
      <c r="E28" s="35">
        <v>1</v>
      </c>
      <c r="F28" s="30">
        <f t="shared" si="0"/>
        <v>1</v>
      </c>
      <c r="G28" s="30">
        <f t="shared" si="1"/>
        <v>1.5683121854901689</v>
      </c>
      <c r="H28" s="41">
        <f t="shared" si="2"/>
        <v>0.24763531331034919</v>
      </c>
      <c r="I28" s="30">
        <f t="shared" si="3"/>
        <v>1</v>
      </c>
      <c r="J28" s="35">
        <f t="shared" si="4"/>
        <v>0</v>
      </c>
      <c r="K28" s="36">
        <f t="shared" si="5"/>
        <v>0.24763531331034919</v>
      </c>
      <c r="L28" s="37">
        <f t="shared" si="6"/>
        <v>1</v>
      </c>
    </row>
    <row r="32" spans="1:12" ht="19.2" x14ac:dyDescent="0.35">
      <c r="A32" s="52" t="s">
        <v>55</v>
      </c>
      <c r="B32" s="52"/>
      <c r="C32" s="52"/>
      <c r="D32" s="52"/>
      <c r="E32" s="53"/>
      <c r="F32" s="53"/>
      <c r="G32" s="53"/>
    </row>
    <row r="37" spans="3:16" ht="12" x14ac:dyDescent="0.25">
      <c r="D37" s="58" t="s">
        <v>42</v>
      </c>
      <c r="E37" s="58" t="s">
        <v>43</v>
      </c>
      <c r="I37" t="s">
        <v>56</v>
      </c>
      <c r="J37" t="s">
        <v>40</v>
      </c>
    </row>
    <row r="38" spans="3:16" ht="12" x14ac:dyDescent="0.25">
      <c r="C38" s="57" t="s">
        <v>37</v>
      </c>
      <c r="D38" s="57">
        <v>11.92</v>
      </c>
      <c r="E38" s="57">
        <v>4050</v>
      </c>
      <c r="I38" s="1">
        <v>105.33</v>
      </c>
      <c r="J38" s="26">
        <v>0.45</v>
      </c>
    </row>
    <row r="39" spans="3:16" ht="12" x14ac:dyDescent="0.25">
      <c r="C39" s="57" t="s">
        <v>38</v>
      </c>
      <c r="D39" s="57">
        <v>12.12</v>
      </c>
      <c r="E39" s="57">
        <v>4050</v>
      </c>
      <c r="H39" s="55" t="s">
        <v>33</v>
      </c>
      <c r="I39" s="56">
        <v>1.0532999999999999</v>
      </c>
      <c r="J39" s="1"/>
    </row>
    <row r="43" spans="3:16" x14ac:dyDescent="0.2">
      <c r="G43" t="s">
        <v>37</v>
      </c>
      <c r="H43" t="s">
        <v>38</v>
      </c>
    </row>
    <row r="44" spans="3:16" ht="13.8" x14ac:dyDescent="0.25">
      <c r="F44" s="56" t="s">
        <v>57</v>
      </c>
      <c r="G44" s="59">
        <f>E38/(D38-LN($I$39))</f>
        <v>341.25172409543501</v>
      </c>
      <c r="H44" s="59">
        <f>E39/(D39-LN(I39))</f>
        <v>335.5962767841948</v>
      </c>
    </row>
    <row r="46" spans="3:16" ht="12" x14ac:dyDescent="0.25">
      <c r="M46" s="66" t="s">
        <v>48</v>
      </c>
    </row>
    <row r="47" spans="3:16" x14ac:dyDescent="0.2">
      <c r="K47" s="54"/>
      <c r="L47" s="54"/>
      <c r="M47" s="54"/>
      <c r="N47" s="54"/>
      <c r="O47" s="54"/>
      <c r="P47" s="54"/>
    </row>
    <row r="48" spans="3:16" ht="12" x14ac:dyDescent="0.25">
      <c r="G48" t="s">
        <v>49</v>
      </c>
      <c r="H48" t="s">
        <v>50</v>
      </c>
      <c r="J48" s="62"/>
      <c r="K48" s="54"/>
      <c r="L48" s="55" t="s">
        <v>61</v>
      </c>
      <c r="M48" s="55" t="s">
        <v>62</v>
      </c>
      <c r="N48" s="54"/>
      <c r="O48" s="54"/>
      <c r="P48" s="54"/>
    </row>
    <row r="49" spans="6:17" ht="12" x14ac:dyDescent="0.25">
      <c r="F49" s="60" t="s">
        <v>30</v>
      </c>
      <c r="G49" s="60" t="s">
        <v>31</v>
      </c>
      <c r="H49" s="60" t="s">
        <v>32</v>
      </c>
      <c r="I49" s="60"/>
      <c r="J49" s="60"/>
      <c r="K49" s="63" t="s">
        <v>60</v>
      </c>
      <c r="L49" s="63" t="s">
        <v>59</v>
      </c>
      <c r="M49" s="63" t="s">
        <v>58</v>
      </c>
      <c r="N49" s="63" t="s">
        <v>63</v>
      </c>
      <c r="O49" s="63" t="s">
        <v>64</v>
      </c>
      <c r="P49" s="54"/>
      <c r="Q49" s="25"/>
    </row>
    <row r="50" spans="6:17" ht="12" x14ac:dyDescent="0.25">
      <c r="F50" s="61">
        <v>0</v>
      </c>
      <c r="G50" s="67">
        <f>EXP($J$38*(1-F50)^2)</f>
        <v>1.5683121854901689</v>
      </c>
      <c r="H50" s="67">
        <f>EXP($I$6*F50^2)</f>
        <v>1</v>
      </c>
      <c r="I50" s="67" t="s">
        <v>65</v>
      </c>
      <c r="J50" s="67"/>
      <c r="K50" s="33">
        <v>335.6</v>
      </c>
      <c r="L50" s="64">
        <f>EXP($D$38-$E$38/K50)</f>
        <v>0.86248456882495861</v>
      </c>
      <c r="M50" s="64">
        <f>EXP($D$39-$E$39/K50)</f>
        <v>1.0534410312333886</v>
      </c>
      <c r="N50" s="65">
        <f>($I$39-M50)/(L50-M50)</f>
        <v>7.3855177044002953E-4</v>
      </c>
      <c r="O50" s="65">
        <f>N50*L50/$I$39</f>
        <v>6.04756009952415E-4</v>
      </c>
      <c r="P50" s="54"/>
      <c r="Q50" s="25"/>
    </row>
    <row r="51" spans="6:17" x14ac:dyDescent="0.2">
      <c r="F51" s="61">
        <v>0.1</v>
      </c>
      <c r="G51" s="67">
        <f t="shared" ref="G51:G60" si="7">EXP($J$38*(1-F51)^2)</f>
        <v>1.4397939311793866</v>
      </c>
      <c r="H51" s="67">
        <f t="shared" ref="H51:H60" si="8">EXP($I$6*F51^2)</f>
        <v>1.0045101402046013</v>
      </c>
      <c r="I51" s="67"/>
      <c r="J51" s="67"/>
      <c r="K51" s="29">
        <v>336</v>
      </c>
      <c r="L51" s="64">
        <f t="shared" ref="L51:L60" si="9">EXP($D$38-$E$38/K51)</f>
        <v>0.87496496924770639</v>
      </c>
      <c r="M51" s="64">
        <f t="shared" ref="M51:M60" si="10">EXP($D$39-$E$39/K51)</f>
        <v>1.0686846267326759</v>
      </c>
      <c r="N51" s="65">
        <f t="shared" ref="N51:N60" si="11">($I$39-M51)/(L51-M51)</f>
        <v>7.9416962286698839E-2</v>
      </c>
      <c r="O51" s="65">
        <f t="shared" ref="O51:O60" si="12">N51*L51/$I$39</f>
        <v>6.5970815498839569E-2</v>
      </c>
      <c r="P51" s="54"/>
      <c r="Q51" s="25"/>
    </row>
    <row r="52" spans="6:17" x14ac:dyDescent="0.2">
      <c r="F52" s="61">
        <v>0.2</v>
      </c>
      <c r="G52" s="67">
        <f t="shared" si="7"/>
        <v>1.3337573041233846</v>
      </c>
      <c r="H52" s="67">
        <f t="shared" si="8"/>
        <v>1.0181629763897937</v>
      </c>
      <c r="I52" s="67"/>
      <c r="J52" s="67"/>
      <c r="K52" s="29">
        <v>336.5</v>
      </c>
      <c r="L52" s="64">
        <f t="shared" si="9"/>
        <v>0.89077695100316079</v>
      </c>
      <c r="M52" s="64">
        <f t="shared" si="10"/>
        <v>1.0879974248607662</v>
      </c>
      <c r="N52" s="65">
        <f t="shared" si="11"/>
        <v>0.1759321645572057</v>
      </c>
      <c r="O52" s="65">
        <f t="shared" si="12"/>
        <v>0.14878602214720787</v>
      </c>
      <c r="P52" s="54"/>
      <c r="Q52" s="25"/>
    </row>
    <row r="53" spans="6:17" x14ac:dyDescent="0.2">
      <c r="F53" s="61">
        <v>0.3</v>
      </c>
      <c r="G53" s="67">
        <f t="shared" si="7"/>
        <v>1.2466999247382289</v>
      </c>
      <c r="H53" s="67">
        <f t="shared" si="8"/>
        <v>1.0413313097025174</v>
      </c>
      <c r="I53" s="67"/>
      <c r="J53" s="67"/>
      <c r="K53" s="29">
        <v>337</v>
      </c>
      <c r="L53" s="64">
        <f t="shared" si="9"/>
        <v>0.90682648442934788</v>
      </c>
      <c r="M53" s="64">
        <f t="shared" si="10"/>
        <v>1.107600369254695</v>
      </c>
      <c r="N53" s="65">
        <f t="shared" si="11"/>
        <v>0.27045533985623116</v>
      </c>
      <c r="O53" s="65">
        <f t="shared" si="12"/>
        <v>0.23284540495297695</v>
      </c>
      <c r="P53" s="54"/>
      <c r="Q53" s="25"/>
    </row>
    <row r="54" spans="6:17" x14ac:dyDescent="0.2">
      <c r="F54" s="61">
        <v>0.4</v>
      </c>
      <c r="G54" s="67">
        <f t="shared" si="7"/>
        <v>1.1758602413209998</v>
      </c>
      <c r="H54" s="67">
        <f t="shared" si="8"/>
        <v>1.0746553440638136</v>
      </c>
      <c r="I54" s="67"/>
      <c r="J54" s="67"/>
      <c r="K54" s="29">
        <v>337.5</v>
      </c>
      <c r="L54" s="64">
        <f t="shared" si="9"/>
        <v>0.92311634638663576</v>
      </c>
      <c r="M54" s="64">
        <f t="shared" si="10"/>
        <v>1.1274968515793748</v>
      </c>
      <c r="N54" s="65">
        <f t="shared" si="11"/>
        <v>0.3630329199421653</v>
      </c>
      <c r="O54" s="65">
        <f t="shared" si="12"/>
        <v>0.31816350771393115</v>
      </c>
      <c r="P54" s="54"/>
      <c r="Q54" s="25"/>
    </row>
    <row r="55" spans="6:17" x14ac:dyDescent="0.2">
      <c r="F55" s="61">
        <v>0.5</v>
      </c>
      <c r="G55" s="67">
        <f t="shared" si="7"/>
        <v>1.1190722569127807</v>
      </c>
      <c r="H55" s="67">
        <f t="shared" si="8"/>
        <v>1.1190722569127807</v>
      </c>
      <c r="I55" s="67"/>
      <c r="J55" s="67"/>
      <c r="K55" s="29">
        <v>338</v>
      </c>
      <c r="L55" s="64">
        <f t="shared" si="9"/>
        <v>0.93964933545106633</v>
      </c>
      <c r="M55" s="64">
        <f t="shared" si="10"/>
        <v>1.1476902900233021</v>
      </c>
      <c r="N55" s="65">
        <f t="shared" si="11"/>
        <v>0.45371013710922053</v>
      </c>
      <c r="O55" s="65">
        <f t="shared" si="12"/>
        <v>0.40475498796362985</v>
      </c>
      <c r="P55" s="54"/>
      <c r="Q55" s="25"/>
    </row>
    <row r="56" spans="6:17" x14ac:dyDescent="0.2">
      <c r="F56" s="61">
        <v>0.6</v>
      </c>
      <c r="G56" s="67">
        <f t="shared" si="7"/>
        <v>1.0746553440638136</v>
      </c>
      <c r="H56" s="67">
        <f t="shared" si="8"/>
        <v>1.1758602413209998</v>
      </c>
      <c r="I56" s="67"/>
      <c r="J56" s="67"/>
      <c r="K56" s="29">
        <v>338.5</v>
      </c>
      <c r="L56" s="64">
        <f t="shared" si="9"/>
        <v>0.95642827196976543</v>
      </c>
      <c r="M56" s="64">
        <f t="shared" si="10"/>
        <v>1.1681841293662356</v>
      </c>
      <c r="N56" s="65">
        <f t="shared" si="11"/>
        <v>0.54253105807193014</v>
      </c>
      <c r="O56" s="65">
        <f t="shared" si="12"/>
        <v>0.49263461726162033</v>
      </c>
      <c r="P56" s="54"/>
      <c r="Q56" s="25"/>
    </row>
    <row r="57" spans="6:17" x14ac:dyDescent="0.2">
      <c r="F57" s="61">
        <v>0.7</v>
      </c>
      <c r="G57" s="67">
        <f t="shared" si="7"/>
        <v>1.0413313097025174</v>
      </c>
      <c r="H57" s="67">
        <f t="shared" si="8"/>
        <v>1.2466999247382289</v>
      </c>
      <c r="I57" s="67"/>
      <c r="J57" s="67"/>
      <c r="K57" s="29">
        <v>339</v>
      </c>
      <c r="L57" s="64">
        <f t="shared" si="9"/>
        <v>0.97345599811557149</v>
      </c>
      <c r="M57" s="64">
        <f t="shared" si="10"/>
        <v>1.1889818410459192</v>
      </c>
      <c r="N57" s="65">
        <f t="shared" si="11"/>
        <v>0.62953861681342826</v>
      </c>
      <c r="O57" s="65">
        <f t="shared" si="12"/>
        <v>0.58181728147955203</v>
      </c>
      <c r="P57" s="54"/>
      <c r="Q57" s="25"/>
    </row>
    <row r="58" spans="6:17" x14ac:dyDescent="0.2">
      <c r="F58" s="61">
        <v>0.8</v>
      </c>
      <c r="G58" s="67">
        <f t="shared" si="7"/>
        <v>1.0181629763897937</v>
      </c>
      <c r="H58" s="67">
        <f t="shared" si="8"/>
        <v>1.3337573041233846</v>
      </c>
      <c r="I58" s="67"/>
      <c r="J58" s="67"/>
      <c r="K58" s="29">
        <v>339.5</v>
      </c>
      <c r="L58" s="64">
        <f t="shared" si="9"/>
        <v>0.99073537794086342</v>
      </c>
      <c r="M58" s="64">
        <f t="shared" si="10"/>
        <v>1.210086923223828</v>
      </c>
      <c r="N58" s="65">
        <f t="shared" si="11"/>
        <v>0.71477464643147237</v>
      </c>
      <c r="O58" s="65">
        <f t="shared" si="12"/>
        <v>0.67231798108310248</v>
      </c>
      <c r="P58" s="54"/>
      <c r="Q58" s="25"/>
    </row>
    <row r="59" spans="6:17" x14ac:dyDescent="0.2">
      <c r="F59" s="61">
        <v>0.9</v>
      </c>
      <c r="G59" s="67">
        <f t="shared" si="7"/>
        <v>1.0045101402046013</v>
      </c>
      <c r="H59" s="67">
        <f t="shared" si="8"/>
        <v>1.4397939311793866</v>
      </c>
      <c r="I59" s="67"/>
      <c r="J59" s="67"/>
      <c r="K59" s="29">
        <v>340</v>
      </c>
      <c r="L59" s="64">
        <f t="shared" si="9"/>
        <v>1.0082692974305827</v>
      </c>
      <c r="M59" s="64">
        <f t="shared" si="10"/>
        <v>1.2315029008499294</v>
      </c>
      <c r="N59" s="65">
        <f t="shared" si="11"/>
        <v>0.79827991001504128</v>
      </c>
      <c r="O59" s="65">
        <f t="shared" si="12"/>
        <v>0.76415183140967857</v>
      </c>
      <c r="P59" s="54"/>
      <c r="Q59" s="25"/>
    </row>
    <row r="60" spans="6:17" ht="12" x14ac:dyDescent="0.25">
      <c r="F60" s="61">
        <v>1</v>
      </c>
      <c r="G60" s="67">
        <f t="shared" si="7"/>
        <v>1</v>
      </c>
      <c r="H60" s="67">
        <f t="shared" si="8"/>
        <v>1.5683121854901689</v>
      </c>
      <c r="I60" s="67"/>
      <c r="J60" s="67"/>
      <c r="K60" s="33">
        <v>341.25</v>
      </c>
      <c r="L60" s="64">
        <f t="shared" si="9"/>
        <v>1.0532368449803242</v>
      </c>
      <c r="M60" s="64">
        <f t="shared" si="10"/>
        <v>1.2864263874548822</v>
      </c>
      <c r="N60" s="65">
        <f t="shared" si="11"/>
        <v>0.9997291687311296</v>
      </c>
      <c r="O60" s="65">
        <f t="shared" si="12"/>
        <v>0.99966922577535089</v>
      </c>
      <c r="P60" s="54"/>
      <c r="Q60" s="25"/>
    </row>
    <row r="61" spans="6:17" x14ac:dyDescent="0.2">
      <c r="K61" s="54"/>
      <c r="L61" s="54"/>
      <c r="M61" s="54"/>
      <c r="N61" s="54"/>
      <c r="O61" s="54"/>
      <c r="P61" s="54"/>
    </row>
  </sheetData>
  <mergeCells count="1">
    <mergeCell ref="J16:L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Tarea 2</vt:lpstr>
      <vt:lpstr>Margules</vt:lpstr>
      <vt:lpstr>Tarea 1 - Wilson</vt:lpstr>
      <vt:lpstr>Clase ELV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Crespo</dc:creator>
  <cp:lastModifiedBy>DELL</cp:lastModifiedBy>
  <dcterms:created xsi:type="dcterms:W3CDTF">2021-01-15T01:56:18Z</dcterms:created>
  <dcterms:modified xsi:type="dcterms:W3CDTF">2021-01-18T05:19:05Z</dcterms:modified>
</cp:coreProperties>
</file>